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Таблица" sheetId="1" r:id="rId1"/>
    <sheet name="Постоянные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<sst xmlns="http://schemas.openxmlformats.org/spreadsheetml/2006/main" count="193" uniqueCount="183">
  <si>
    <t>Отлов собаки, транспортировка, вакцинация и пр, руб</t>
  </si>
  <si>
    <t>Содержание собаки на карантине (10 дней), руб</t>
  </si>
  <si>
    <t>Содержание собаки 20 дней после операции и послеоперационный уход (10 дней), руб</t>
  </si>
  <si>
    <t>Операция (максимальное), руб</t>
  </si>
  <si>
    <t>Маркировка, руб</t>
  </si>
  <si>
    <t>Возврат в место прежнего обитания, руб</t>
  </si>
  <si>
    <t>Пожизненное содержание животных, руб в день</t>
  </si>
  <si>
    <t>Умервщление и утилизация биологических отходов, руб</t>
  </si>
  <si>
    <t>ИТОГО: ОСВВ, руб</t>
  </si>
  <si>
    <t>ИТОГО: эвтаназия,руб</t>
  </si>
  <si>
    <t>ИТОГО: пожизненное содержание 1 собаки (5 лет), руб</t>
  </si>
  <si>
    <t>Разница между ОСВВ и эвтаназией</t>
  </si>
  <si>
    <t>ссылка на контракт</t>
  </si>
  <si>
    <t>1. Российская Федерация</t>
  </si>
  <si>
    <t>2. Центральный федеральный округ</t>
  </si>
  <si>
    <t>3. Белгородская область</t>
  </si>
  <si>
    <t>https://zakupki.gov.ru/epz/contract/contractCard/document-info.html?reestrNumber=3310600571023000040&amp;contractInfoId=86955994</t>
  </si>
  <si>
    <t>4. Брянская область</t>
  </si>
  <si>
    <t>https://zakupki.gov.ru/epz/contract/contractCard/payment-info-and-target-of-order.html?reestrNumber=3320900070624000005#contractSubjects</t>
  </si>
  <si>
    <t>5. Владимирская область</t>
  </si>
  <si>
    <t>https://zakupki.gov.ru/epz/contract/contractCard/payment-info-and-target-of-order.html?reestrNumber=2332810332324000006#contractSubjects</t>
  </si>
  <si>
    <t>6. Воронежская область</t>
  </si>
  <si>
    <t>https://zakupki.gov.ru/epz/contract/contractCard/payment-info-and-target-of-order.html?reestrNumber=3360100202224000009#contractSubjects</t>
  </si>
  <si>
    <t>7. Ивановская область</t>
  </si>
  <si>
    <t>https://zakupki.gov.ru/epz/contract/contractCard/payment-info-and-target-of-order.html?reestrNumber=3400400280023000033#contractSubjects</t>
  </si>
  <si>
    <t>8. Калужская область</t>
  </si>
  <si>
    <t>https://zakupki.gov.ru/epz/contract/contractCard/common-info.html?reestrNumber=3402100301724000003&amp;contractInfoId=89291066    https://zakupki.gov.ru/epz/contract/contractCard/payment-info-and-target-of-order.html?reestrNumber=3400400280023000033#contractSubjects</t>
  </si>
  <si>
    <t>9. Костромская область</t>
  </si>
  <si>
    <t>нет контрактов с 2018 г</t>
  </si>
  <si>
    <t>10. Курская область</t>
  </si>
  <si>
    <t>https://zakupki.gov.ru/epz/contract/contractCard/payment-info-and-target-of-order.html?reestrNumber=3460500550924000001#contractSubjects</t>
  </si>
  <si>
    <t>11. Липецкая область</t>
  </si>
  <si>
    <t>https://zakupki.gov.ru/epz/contract/contractCard/payment-info-and-target-of-order.html?reestrNumber=3481500069824000003#contractSubjects</t>
  </si>
  <si>
    <t>12. Московская область</t>
  </si>
  <si>
    <t>https://zakupki.gov.ru/epz/contract/contractCard/payment-info-and-target-of-order.html?reestrNumber=3503815898023000362#contractSubjects</t>
  </si>
  <si>
    <t>13. Орловская область</t>
  </si>
  <si>
    <t>https://zakupki.gov.ru/epz/contract/contractCard/payment-info-and-target-of-order.html?reestrNumber=3570900180724000012#contractSubjects</t>
  </si>
  <si>
    <t>14. Рязанская область</t>
  </si>
  <si>
    <t>https://zakupki.gov.ru/epz/contract/contractCard/payment-info-and-target-of-order.html?reestrNumber=3620520113224000012#contractSubjects</t>
  </si>
  <si>
    <t>15. Смоленская область</t>
  </si>
  <si>
    <t>https://zakupki.gov.ru/epz/contract/contractCard/payment-info-and-target-of-order.html?reestrNumber=2673006238524000001#contractSubjects</t>
  </si>
  <si>
    <t>16. Тамбовская область</t>
  </si>
  <si>
    <t>https://zakupki.gov.ru/epz/contract/contractCard/document-info.html?reestrNumber=3680000700624000010&amp;contractInfoId=89636245</t>
  </si>
  <si>
    <t>17. Тверская область</t>
  </si>
  <si>
    <t>нет контрактов</t>
  </si>
  <si>
    <t>18. Тульская область</t>
  </si>
  <si>
    <t>https://zakupki.gov.ru/epz/contract/contractCard/payment-info-and-target-of-order.html?reestrNumber=3713400079924000002#contractSubjects</t>
  </si>
  <si>
    <t>19. Ярославская область</t>
  </si>
  <si>
    <t>https://zakupki.gov.ru/epz/contract/contractCard/payment-info-and-target-of-order.html?reestrNumber=3760601190224000004#contractSubjects</t>
  </si>
  <si>
    <t>20. г. Москва</t>
  </si>
  <si>
    <t>https://zakupki.gov.ru/epz/contract/contractCard/payment-info-and-target-of-order.html?reestrNumber=3500305735723000031#contractSubjects</t>
  </si>
  <si>
    <r>
      <rPr>
        <b/>
        <sz val="7.5"/>
        <color theme="1"/>
        <rFont val="Arial"/>
        <charset val="134"/>
      </rPr>
      <t>21. Северо-Западный</t>
    </r>
    <r>
      <rPr>
        <b/>
        <sz val="7.5"/>
        <color rgb="FFFFFFFF"/>
        <rFont val="Arial"/>
        <charset val="134"/>
      </rPr>
      <t xml:space="preserve"> </t>
    </r>
    <r>
      <rPr>
        <b/>
        <sz val="7.5"/>
        <color theme="1"/>
        <rFont val="Arial"/>
        <charset val="134"/>
      </rPr>
      <t>федеральный округ</t>
    </r>
  </si>
  <si>
    <t>22. Республика Карелия</t>
  </si>
  <si>
    <t>https://zakupki.gov.ru/epz/contract/contractCard/payment-info-and-target-of-order.html?reestrNumber=3100000542724000013&amp;contractInfoId=90066300</t>
  </si>
  <si>
    <t>23. Республика Коми</t>
  </si>
  <si>
    <t>https://zakupki.gov.ru/epz/contract/contractCard/payment-info-and-target-of-order.html?reestrNumber=3110204663024000014#contractSubjects</t>
  </si>
  <si>
    <t>24. Архангельская область</t>
  </si>
  <si>
    <t>25. в том числе Ненецкий автономный округ</t>
  </si>
  <si>
    <t>https://zakupki.gov.ru/epz/contract/contractCard/document-info.html?reestrNumber=3246901000624000006&amp;contractInfoId=90061521</t>
  </si>
  <si>
    <t>26. Вологодская область</t>
  </si>
  <si>
    <t>https://zakupki.gov.ru/epz/contract/contractCard/payment-info-and-target-of-order.html?reestrNumber=3350000067824000022#contractSubjects</t>
  </si>
  <si>
    <t>27. Калининградская область</t>
  </si>
  <si>
    <t>28. Ленинградская область</t>
  </si>
  <si>
    <t>https://zakupki.gov.ru/epz/contract/contractCard/payment-info-and-target-of-order.html?reestrNumber=3470200922724000004#contractSubjects</t>
  </si>
  <si>
    <t>29. Мурманская область</t>
  </si>
  <si>
    <t>https://zakupki.gov.ru/epz/contract/contractCard/payment-info-and-target-of-order.html?reestrNumber=3511100080923000038#contractSubjects</t>
  </si>
  <si>
    <t>30. Новгородская область</t>
  </si>
  <si>
    <t>31. Псковская область</t>
  </si>
  <si>
    <t>https://zakupki.gov.ru/epz/contract/contractCard/payment-info-and-target-of-order.html?reestrNumber=3600200115224000003#contractSubjects</t>
  </si>
  <si>
    <t>32. г. Санкт-Петербург</t>
  </si>
  <si>
    <t>https://zakupki.gov.ru/epz/contract/contractCard/payment-info-and-target-of-order.html?reestrNumber=2784042414222000034#contractSubjects</t>
  </si>
  <si>
    <t>33. Южный федеральный округ</t>
  </si>
  <si>
    <t>34. Республика Адыгея</t>
  </si>
  <si>
    <t>https://zakupki.gov.ru/epz/contract/contractCard/payment-info-and-target-of-order.html?reestrNumber=3010504885024000035#contractSubjects</t>
  </si>
  <si>
    <t>35. Республика Дагестан</t>
  </si>
  <si>
    <t>36. Республика Ингушетия</t>
  </si>
  <si>
    <t>37.Кабардино-Балкарская Республика</t>
  </si>
  <si>
    <t>https://zakupki.gov.ru/epz/contract/contractCard/payment-info-and-target-of-order.html?reestrNumber=3070300268224000020#contractSubjects</t>
  </si>
  <si>
    <t>38. Республика Калмыкия</t>
  </si>
  <si>
    <t>39. Карачаево-Черкесская Республика</t>
  </si>
  <si>
    <t>https://zakupki.gov.ru/epz/contract/contractCard/payment-info-and-target-of-order.html?reestrNumber=2091700050924000001#contractSubjects</t>
  </si>
  <si>
    <t>40. Республика Северная Осетия - Алания</t>
  </si>
  <si>
    <t>41. Чеченская Республика</t>
  </si>
  <si>
    <t>https://zakupki.gov.ru/epz/contract/contractCard/payment-info-and-target-of-order.html?reestrNumber=2201401717422000002#page-2</t>
  </si>
  <si>
    <t>42. Краснодарский край</t>
  </si>
  <si>
    <t>https://zakupki.gov.ru/epz/contract/contractCard/payment-info-and-target-of-order.html?reestrNumber=3231108310923000089#contractSubjects</t>
  </si>
  <si>
    <t>43. Ставропольский край</t>
  </si>
  <si>
    <t>https://zakupki.gov.ru/epz/contract/contractCard/payment-info-and-target-of-order.html?reestrNumber=3260702247124000014#contractSubjects</t>
  </si>
  <si>
    <t>44. Астраханская область</t>
  </si>
  <si>
    <t>https://zakupki.gov.ru/epz/contract/contractCard/payment-info-and-target-of-order.html?reestrNumber=3300600891824000001&amp;contractInfoId=91200036</t>
  </si>
  <si>
    <t>45. Волгоградская область</t>
  </si>
  <si>
    <t>https://zakupki.gov.ru/epz/contract/contractCard/payment-info-and-target-of-order.html?reestrNumber=3343900087724000023#contractSubjects</t>
  </si>
  <si>
    <t>46. Ростовская область</t>
  </si>
  <si>
    <t>https://zakupki.gov.ru/epz/contract/contractCard/payment-info-and-target-of-order.html?reestrNumber=3615009402324000005#contractSubjects</t>
  </si>
  <si>
    <t>47. Приволжский федеральный округ</t>
  </si>
  <si>
    <t>48. Республика Башкортостан</t>
  </si>
  <si>
    <t>https://zakupki.gov.ru/epz/contract/contractCard/payment-info-and-target-of-order.html?reestrNumber=3025601628924000008#page-1</t>
  </si>
  <si>
    <t>49. Республика Марий Эл</t>
  </si>
  <si>
    <t>https://zakupki.gov.ru/epz/contract/contractCard/payment-info-and-target-of-order.html?reestrNumber=3121300129724000007#contractSubjects</t>
  </si>
  <si>
    <t>50. Республика Мордовия</t>
  </si>
  <si>
    <t>https://zakupki.gov.ru/epz/contract/contractCard/payment-info-and-target-of-order.html?reestrNumber=3131910924424000011#contractSubjects</t>
  </si>
  <si>
    <t>51. Республика Татарстан</t>
  </si>
  <si>
    <t>https://zakupki.gov.ru/epz/contract/contractCard/payment-info-and-target-of-order.html?reestrNumber=3163360539723000016#contractSubjects</t>
  </si>
  <si>
    <t>52. Удмуртская Республика</t>
  </si>
  <si>
    <t>https://zakupki.gov.ru/epz/contract/contractCard/payment-info-and-target-of-order.html?reestrNumber=3184110162624000011#contractSubjects</t>
  </si>
  <si>
    <t>53. Чувашская Республика</t>
  </si>
  <si>
    <t>https://zakupki.gov.ru/epz/contract/contractCard/payment-info-and-target-of-order.html?reestrNumber=3210000345724000009#contractSubjects</t>
  </si>
  <si>
    <t>54. Кировская область</t>
  </si>
  <si>
    <t>https://zakupki.gov.ru/epz/contract/contractCard/payment-info-and-target-of-order.html?reestrNumber=3463401224324000005#page-2</t>
  </si>
  <si>
    <t>55. Нижегородская область</t>
  </si>
  <si>
    <t>https://zakupki.gov.ru/epz/contract/contractCard/payment-info-and-target-of-order.html?reestrNumber=3521400177024000148#page-2</t>
  </si>
  <si>
    <t>56. Оренбургская область</t>
  </si>
  <si>
    <t>https://zakupki.gov.ru/epz/contract/contractCard/payment-info-and-target-of-order.html?reestrNumber=3560102182224000003#contractSubjects</t>
  </si>
  <si>
    <t>57. Пензенская область</t>
  </si>
  <si>
    <t>https://zakupki.gov.ru/epz/contract/contractCard/payment-info-and-target-of-order.html?reestrNumber=3583601305824000005#contractSubjects</t>
  </si>
  <si>
    <t>58. Пермская область</t>
  </si>
  <si>
    <t>https://zakupki.gov.ru/epz/contract/contractCard/payment-info-and-target-of-order.html?reestrNumber=3595900390223000015&amp;contractInfoId=88057580#page-2</t>
  </si>
  <si>
    <t>59. в том числе Коми-Пермяцкий автономный округ</t>
  </si>
  <si>
    <t>60. Самарская область</t>
  </si>
  <si>
    <t>https://zakupki.gov.ru/epz/contract/contractCard/payment-info-and-target-of-order.html?reestrNumber=3638500155624000006#contractSubjects</t>
  </si>
  <si>
    <t>61. Саратовская область</t>
  </si>
  <si>
    <t>https://zakupki.gov.ru/epz/contract/contractCard/payment-info-and-target-of-order.html?reestrNumber=3644600653024000018#contractSubjects</t>
  </si>
  <si>
    <t>62. Ульяновская область</t>
  </si>
  <si>
    <t>https://zakupki.gov.ru/epz/contract/contractCard/payment-info-and-target-of-order.html?reestrNumber=3732902486524000001#contractSubjects</t>
  </si>
  <si>
    <t>63. Уральский федеральный округ</t>
  </si>
  <si>
    <t>64. Курганская область</t>
  </si>
  <si>
    <t>нет разбивки по операциям</t>
  </si>
  <si>
    <t>65. Свердловская область</t>
  </si>
  <si>
    <t>https://zakupki.gov.ru/epz/contract/contractCard/payment-info-and-target-of-order.html?reestrNumber=3661100132024000002#contractSubjects</t>
  </si>
  <si>
    <t>66. Тюменская область</t>
  </si>
  <si>
    <t>в том числе:</t>
  </si>
  <si>
    <t>67. Ханты-Мансийский автономный округ - Югра</t>
  </si>
  <si>
    <t>https://zakupki.gov.ru/epz/contract/contractCard/payment-info-and-target-of-order.html?reestrNumber=3860201761624000003#contractSubjects</t>
  </si>
  <si>
    <t>68. Ямало-Ненецкий автономный округ</t>
  </si>
  <si>
    <t>69. Челябинская область</t>
  </si>
  <si>
    <t>https://zakupki.gov.ru/epz/contract/contractCard/payment-info-and-target-of-order.html?reestrNumber=3743600027324000028#contractSubjects</t>
  </si>
  <si>
    <t>70. Сибирский федеральный округ</t>
  </si>
  <si>
    <t>71. Республика Алтай</t>
  </si>
  <si>
    <t>https://zakupki.gov.ru/epz/contract/contractCard/payment-info-and-target-of-order.html?reestrNumber=3041000415024000007#page-1</t>
  </si>
  <si>
    <t>72. Республика Бурятия</t>
  </si>
  <si>
    <t>https://zakupki.gov.ru/epz/contract/contractCard/payment-info-and-target-of-order.html?reestrNumber=3032312724424000002#contractSubjects</t>
  </si>
  <si>
    <t>73. Республика Тыва</t>
  </si>
  <si>
    <t>https://zakupki.gov.ru/epz/contract/contractCard/payment-info-and-target-of-order.html?reestrNumber=3422900667324000003#page-1</t>
  </si>
  <si>
    <t>74. Республика Хакасия</t>
  </si>
  <si>
    <t>https://zakupki.gov.ru/epz/contract/contractCard/payment-info-and-target-of-order.html?reestrNumber=3190400416024000001#page-1</t>
  </si>
  <si>
    <t>75. Алтайский край</t>
  </si>
  <si>
    <t>https://zakupki.gov.ru/epz/contract/contractCard/payment-info-and-target-of-order.html?reestrNumber=3227100131523000008#contractSubjects</t>
  </si>
  <si>
    <t>76. Красноярский край</t>
  </si>
  <si>
    <t>https://zakupki.gov.ru/epz/contract/contractCard/payment-info-and-target-of-order.html?reestrNumber=3245300599523000068#contractSubjects</t>
  </si>
  <si>
    <t>78. Эвенкийский автономный округ</t>
  </si>
  <si>
    <t>https://zakupki.gov.ru/epz/contract/contractCard/payment-info-and-target-of-order.html?reestrNumber=3880101284524000018#contractSubjects</t>
  </si>
  <si>
    <t>79. Иркутская область</t>
  </si>
  <si>
    <t>https://zakupki.gov.ru/epz/contract/contractCard/payment-info-and-target-of-order.html?reestrNumber=3850100070424000005#contractSubjects</t>
  </si>
  <si>
    <t>81. Кемеровская область</t>
  </si>
  <si>
    <t>https://zakupki.gov.ru/epz/contract/contractCard/payment-info-and-target-of-order.html?reestrNumber=3423400213824000008#contractSubjects</t>
  </si>
  <si>
    <t>82. Новосибирская область</t>
  </si>
  <si>
    <t>https://zakupki.gov.ru/epz/contract/contractCard/payment-info-and-target-of-order.html?reestrNumber=3544011267424000019#contractSubjects</t>
  </si>
  <si>
    <t>83. Омская область</t>
  </si>
  <si>
    <t>https://zakupki.gov.ru/epz/contract/contractCard/payment-info-and-target-of-order.html?reestrNumber=3551520025724000001#contractSubjects</t>
  </si>
  <si>
    <t>84. Томская область</t>
  </si>
  <si>
    <t>https://zakupki.gov.ru/epz/contract/contractCard/payment-info-and-target-of-order.html?reestrNumber=3701000078924000007#contractSubjects</t>
  </si>
  <si>
    <t>85. Читинская область</t>
  </si>
  <si>
    <t>https://zakupki.gov.ru/epz/contract/contractCard/payment-info-and-target-of-order.html?reestrNumber=3753608837724000003#contractSubjects</t>
  </si>
  <si>
    <t>87. Дальневосточный федеральный округ</t>
  </si>
  <si>
    <t>88. Республика Саха (Якутия)</t>
  </si>
  <si>
    <t>https://zakupki.gov.ru/epz/contract/contractCard/payment-info-and-target-of-order.html?reestrNumber=3143302050624000003#contractSubjects</t>
  </si>
  <si>
    <t>89. Приморский край</t>
  </si>
  <si>
    <t>https://zakupki.gov.ru/epz/contract/contractCard/payment-info-and-target-of-order.html?reestrNumber=3250207287724000004#contractSubjects</t>
  </si>
  <si>
    <t>90. Хабаровский край</t>
  </si>
  <si>
    <t>https://zakupki.gov.ru/epz/contract/contractCard/payment-info-and-target-of-order.html?reestrNumber=3271300691524000004#contractSubjects</t>
  </si>
  <si>
    <t>91. Амурская область</t>
  </si>
  <si>
    <t>https://zakupki.gov.ru/epz/contract/contractCard/payment-info-and-target-of-order.html?reestrNumber=3282200409724000006#contractSubjects</t>
  </si>
  <si>
    <t>92. Камчатская область</t>
  </si>
  <si>
    <t>нет внятных контрактов</t>
  </si>
  <si>
    <t>94. Магаданская область</t>
  </si>
  <si>
    <t>https://zakupki.gov.ru/epz/contract/contractCard/payment-info-and-target-of-order.html?reestrNumber=3490901344524000003#contractSubjects</t>
  </si>
  <si>
    <t>95. Сахалинская область</t>
  </si>
  <si>
    <t>https://zakupki.gov.ru/epz/contract/contractCard/payment-info-and-target-of-order.html?reestrNumber=3650300045624000032#contractSubjects</t>
  </si>
  <si>
    <t>96. Еврейская автономная область</t>
  </si>
  <si>
    <t>97. Чукотский автономный округ</t>
  </si>
  <si>
    <t>Количество лет для пожизненного содержания</t>
  </si>
  <si>
    <t>Количество дней для пожизненного содержания</t>
  </si>
  <si>
    <t>Вес собаки для кремации, кг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</si>
</sst>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b/>
      <sz val="7.5"/>
      <color theme="1"/>
      <name val="Arial"/>
      <charset val="134"/>
    </font>
    <font>
      <sz val="7.5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7.5"/>
      <color rgb="FFFFFFFF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3" fillId="0" borderId="0" xfId="6">
      <alignment vertical="center"/>
    </xf>
    <xf numFmtId="0" fontId="4" fillId="0" borderId="0" xfId="6" applyFont="1">
      <alignment vertical="center"/>
    </xf>
    <xf numFmtId="0" fontId="2" fillId="0" borderId="0" xfId="0" applyFont="1" applyFill="1" applyAlignment="1">
      <alignment vertical="top" wrapText="1"/>
    </xf>
    <xf numFmtId="0" fontId="2" fillId="6" borderId="0" xfId="0" applyFont="1" applyFill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zakupki.gov.ru/epz/contract/contractCard/payment-info-and-target-of-order.html?reestrNumber=3503815898023000362#contractSubjects" TargetMode="External"/><Relationship Id="rId8" Type="http://schemas.openxmlformats.org/officeDocument/2006/relationships/hyperlink" Target="https://zakupki.gov.ru/epz/contract/contractCard/payment-info-and-target-of-order.html?reestrNumber=3481500069824000003#contractSubjects" TargetMode="External"/><Relationship Id="rId7" Type="http://schemas.openxmlformats.org/officeDocument/2006/relationships/hyperlink" Target="https://zakupki.gov.ru/epz/contract/contractCard/payment-info-and-target-of-order.html?reestrNumber=3460500550924000001#contractSubjects" TargetMode="External"/><Relationship Id="rId69" Type="http://schemas.openxmlformats.org/officeDocument/2006/relationships/hyperlink" Target="https://zakupki.gov.ru/epz/contract/contractCard/payment-info-and-target-of-order.html?reestrNumber=3650300045624000032#contractSubjects" TargetMode="External"/><Relationship Id="rId68" Type="http://schemas.openxmlformats.org/officeDocument/2006/relationships/hyperlink" Target="https://zakupki.gov.ru/epz/contract/contractCard/payment-info-and-target-of-order.html?reestrNumber=3490901344524000003#contractSubjects" TargetMode="External"/><Relationship Id="rId67" Type="http://schemas.openxmlformats.org/officeDocument/2006/relationships/hyperlink" Target="https://zakupki.gov.ru/epz/contract/contractCard/payment-info-and-target-of-order.html?reestrNumber=3282200409724000006#contractSubjects" TargetMode="External"/><Relationship Id="rId66" Type="http://schemas.openxmlformats.org/officeDocument/2006/relationships/hyperlink" Target="https://zakupki.gov.ru/epz/contract/contractCard/payment-info-and-target-of-order.html?reestrNumber=3271300691524000004#contractSubjects" TargetMode="External"/><Relationship Id="rId65" Type="http://schemas.openxmlformats.org/officeDocument/2006/relationships/hyperlink" Target="https://zakupki.gov.ru/epz/contract/contractCard/payment-info-and-target-of-order.html?reestrNumber=3250207287724000004#contractSubjects" TargetMode="External"/><Relationship Id="rId64" Type="http://schemas.openxmlformats.org/officeDocument/2006/relationships/hyperlink" Target="https://zakupki.gov.ru/epz/contract/contractCard/payment-info-and-target-of-order.html?reestrNumber=3753608837724000003#contractSubjects" TargetMode="External"/><Relationship Id="rId63" Type="http://schemas.openxmlformats.org/officeDocument/2006/relationships/hyperlink" Target="https://zakupki.gov.ru/epz/contract/contractCard/payment-info-and-target-of-order.html?reestrNumber=3701000078924000007#contractSubjects" TargetMode="External"/><Relationship Id="rId62" Type="http://schemas.openxmlformats.org/officeDocument/2006/relationships/hyperlink" Target="https://zakupki.gov.ru/epz/contract/contractCard/payment-info-and-target-of-order.html?reestrNumber=3551520025724000001#contractSubjects" TargetMode="External"/><Relationship Id="rId61" Type="http://schemas.openxmlformats.org/officeDocument/2006/relationships/hyperlink" Target="https://zakupki.gov.ru/epz/contract/contractCard/payment-info-and-target-of-order.html?reestrNumber=3544011267424000019#contractSubjects" TargetMode="External"/><Relationship Id="rId60" Type="http://schemas.openxmlformats.org/officeDocument/2006/relationships/hyperlink" Target="https://zakupki.gov.ru/epz/contract/contractCard/payment-info-and-target-of-order.html?reestrNumber=3423400213824000008#contractSubjects" TargetMode="External"/><Relationship Id="rId6" Type="http://schemas.openxmlformats.org/officeDocument/2006/relationships/hyperlink" Target="https://zakupki.gov.ru/epz/contract/contractCard/payment-info-and-target-of-order.html?reestrNumber=3400400280023000033#contractSubjects" TargetMode="External"/><Relationship Id="rId59" Type="http://schemas.openxmlformats.org/officeDocument/2006/relationships/hyperlink" Target="https://zakupki.gov.ru/epz/contract/contractCard/payment-info-and-target-of-order.html?reestrNumber=3850100070424000005#contractSubjects" TargetMode="External"/><Relationship Id="rId58" Type="http://schemas.openxmlformats.org/officeDocument/2006/relationships/hyperlink" Target="https://zakupki.gov.ru/epz/contract/contractCard/payment-info-and-target-of-order.html?reestrNumber=3880101284524000018#contractSubjects" TargetMode="External"/><Relationship Id="rId57" Type="http://schemas.openxmlformats.org/officeDocument/2006/relationships/hyperlink" Target="https://zakupki.gov.ru/epz/contract/contractCard/payment-info-and-target-of-order.html?reestrNumber=3245300599523000068#contractSubjects" TargetMode="External"/><Relationship Id="rId56" Type="http://schemas.openxmlformats.org/officeDocument/2006/relationships/hyperlink" Target="https://zakupki.gov.ru/epz/contract/contractCard/payment-info-and-target-of-order.html?reestrNumber=3227100131523000008#contractSubjects" TargetMode="External"/><Relationship Id="rId55" Type="http://schemas.openxmlformats.org/officeDocument/2006/relationships/hyperlink" Target="https://zakupki.gov.ru/epz/contract/contractCard/payment-info-and-target-of-order.html?reestrNumber=3190400416024000001#page-1" TargetMode="External"/><Relationship Id="rId54" Type="http://schemas.openxmlformats.org/officeDocument/2006/relationships/hyperlink" Target="https://zakupki.gov.ru/epz/contract/contractCard/payment-info-and-target-of-order.html?reestrNumber=3422900667324000003#page-1" TargetMode="External"/><Relationship Id="rId53" Type="http://schemas.openxmlformats.org/officeDocument/2006/relationships/hyperlink" Target="https://zakupki.gov.ru/epz/contract/contractCard/payment-info-and-target-of-order.html?reestrNumber=3032312724424000002#contractSubjects" TargetMode="External"/><Relationship Id="rId52" Type="http://schemas.openxmlformats.org/officeDocument/2006/relationships/hyperlink" Target="https://zakupki.gov.ru/epz/contract/contractCard/payment-info-and-target-of-order.html?reestrNumber=3041000415024000007#page-1" TargetMode="External"/><Relationship Id="rId51" Type="http://schemas.openxmlformats.org/officeDocument/2006/relationships/hyperlink" Target="https://zakupki.gov.ru/epz/contract/contractCard/payment-info-and-target-of-order.html?reestrNumber=3860201761624000003#contractSubjects" TargetMode="External"/><Relationship Id="rId50" Type="http://schemas.openxmlformats.org/officeDocument/2006/relationships/hyperlink" Target="https://zakupki.gov.ru/epz/contract/contractCard/payment-info-and-target-of-order.html?reestrNumber=3661100132024000002#contractSubjects" TargetMode="External"/><Relationship Id="rId5" Type="http://schemas.openxmlformats.org/officeDocument/2006/relationships/hyperlink" Target="https://zakupki.gov.ru/epz/contract/contractCard/common-info.html?reestrNumber=3402100301724000003&amp;contractInfoId=89291066    https://zakupki.gov.ru/epz/contract/contractCard/payment-info-and-target-of-order.html?reestrNumber=3400400280023000033#contractSubjects" TargetMode="External"/><Relationship Id="rId49" Type="http://schemas.openxmlformats.org/officeDocument/2006/relationships/hyperlink" Target="https://zakupki.gov.ru/epz/contract/contractCard/payment-info-and-target-of-order.html?reestrNumber=3732902486524000001#contractSubjects" TargetMode="External"/><Relationship Id="rId48" Type="http://schemas.openxmlformats.org/officeDocument/2006/relationships/hyperlink" Target="https://zakupki.gov.ru/epz/contract/contractCard/payment-info-and-target-of-order.html?reestrNumber=3644600653024000018#contractSubjects" TargetMode="External"/><Relationship Id="rId47" Type="http://schemas.openxmlformats.org/officeDocument/2006/relationships/hyperlink" Target="https://zakupki.gov.ru/epz/contract/contractCard/payment-info-and-target-of-order.html?reestrNumber=3638500155624000006#contractSubjects" TargetMode="External"/><Relationship Id="rId46" Type="http://schemas.openxmlformats.org/officeDocument/2006/relationships/hyperlink" Target="https://zakupki.gov.ru/epz/contract/contractCard/payment-info-and-target-of-order.html?reestrNumber=3595900390223000015&amp;contractInfoId=88057580#page-2" TargetMode="External"/><Relationship Id="rId45" Type="http://schemas.openxmlformats.org/officeDocument/2006/relationships/hyperlink" Target="https://zakupki.gov.ru/epz/contract/contractCard/payment-info-and-target-of-order.html?reestrNumber=3583601305824000005#contractSubjects" TargetMode="External"/><Relationship Id="rId44" Type="http://schemas.openxmlformats.org/officeDocument/2006/relationships/hyperlink" Target="https://zakupki.gov.ru/epz/contract/contractCard/payment-info-and-target-of-order.html?reestrNumber=3560102182224000003#contractSubjects" TargetMode="External"/><Relationship Id="rId43" Type="http://schemas.openxmlformats.org/officeDocument/2006/relationships/hyperlink" Target="https://zakupki.gov.ru/epz/contract/contractCard/payment-info-and-target-of-order.html?reestrNumber=3521400177024000148#page-2" TargetMode="External"/><Relationship Id="rId42" Type="http://schemas.openxmlformats.org/officeDocument/2006/relationships/hyperlink" Target="https://zakupki.gov.ru/epz/contract/contractCard/payment-info-and-target-of-order.html?reestrNumber=3463401224324000005#page-2" TargetMode="External"/><Relationship Id="rId41" Type="http://schemas.openxmlformats.org/officeDocument/2006/relationships/hyperlink" Target="https://zakupki.gov.ru/epz/contract/contractCard/payment-info-and-target-of-order.html?reestrNumber=3210000345724000009#contractSubjects" TargetMode="External"/><Relationship Id="rId40" Type="http://schemas.openxmlformats.org/officeDocument/2006/relationships/hyperlink" Target="https://zakupki.gov.ru/epz/contract/contractCard/payment-info-and-target-of-order.html?reestrNumber=3184110162624000011#contractSubjects" TargetMode="External"/><Relationship Id="rId4" Type="http://schemas.openxmlformats.org/officeDocument/2006/relationships/hyperlink" Target="https://zakupki.gov.ru/epz/contract/contractCard/payment-info-and-target-of-order.html?reestrNumber=3360100202224000009#contractSubjects" TargetMode="External"/><Relationship Id="rId39" Type="http://schemas.openxmlformats.org/officeDocument/2006/relationships/hyperlink" Target="https://zakupki.gov.ru/epz/contract/contractCard/payment-info-and-target-of-order.html?reestrNumber=3131910924424000011#contractSubjects" TargetMode="External"/><Relationship Id="rId38" Type="http://schemas.openxmlformats.org/officeDocument/2006/relationships/hyperlink" Target="https://zakupki.gov.ru/epz/contract/contractCard/payment-info-and-target-of-order.html?reestrNumber=3163360539723000016#contractSubjects" TargetMode="External"/><Relationship Id="rId37" Type="http://schemas.openxmlformats.org/officeDocument/2006/relationships/hyperlink" Target="https://zakupki.gov.ru/epz/contract/contractCard/payment-info-and-target-of-order.html?reestrNumber=3121300129724000007#contractSubjects" TargetMode="External"/><Relationship Id="rId36" Type="http://schemas.openxmlformats.org/officeDocument/2006/relationships/hyperlink" Target="https://zakupki.gov.ru/epz/contract/contractCard/payment-info-and-target-of-order.html?reestrNumber=3025601628924000008#page-1" TargetMode="External"/><Relationship Id="rId35" Type="http://schemas.openxmlformats.org/officeDocument/2006/relationships/hyperlink" Target="https://zakupki.gov.ru/epz/contract/contractCard/payment-info-and-target-of-order.html?reestrNumber=3615009402324000005#contractSubjects" TargetMode="External"/><Relationship Id="rId34" Type="http://schemas.openxmlformats.org/officeDocument/2006/relationships/hyperlink" Target="https://zakupki.gov.ru/epz/contract/contractCard/payment-info-and-target-of-order.html?reestrNumber=3343900087724000023#contractSubjects" TargetMode="External"/><Relationship Id="rId33" Type="http://schemas.openxmlformats.org/officeDocument/2006/relationships/hyperlink" Target="https://zakupki.gov.ru/epz/contract/contractCard/payment-info-and-target-of-order.html?reestrNumber=3300600891824000001&amp;contractInfoId=91200036" TargetMode="External"/><Relationship Id="rId32" Type="http://schemas.openxmlformats.org/officeDocument/2006/relationships/hyperlink" Target="https://zakupki.gov.ru/epz/contract/contractCard/payment-info-and-target-of-order.html?reestrNumber=3231108310923000089#contractSubjects" TargetMode="External"/><Relationship Id="rId31" Type="http://schemas.openxmlformats.org/officeDocument/2006/relationships/hyperlink" Target="https://zakupki.gov.ru/epz/contract/contractCard/payment-info-and-target-of-order.html?reestrNumber=3260702247124000014#contractSubjects" TargetMode="External"/><Relationship Id="rId30" Type="http://schemas.openxmlformats.org/officeDocument/2006/relationships/hyperlink" Target="https://zakupki.gov.ru/epz/contract/contractCard/payment-info-and-target-of-order.html?reestrNumber=2201401717422000002#page-2" TargetMode="External"/><Relationship Id="rId3" Type="http://schemas.openxmlformats.org/officeDocument/2006/relationships/hyperlink" Target="https://zakupki.gov.ru/epz/contract/contractCard/payment-info-and-target-of-order.html?reestrNumber=2332810332324000006#contractSubjects" TargetMode="External"/><Relationship Id="rId29" Type="http://schemas.openxmlformats.org/officeDocument/2006/relationships/hyperlink" Target="https://zakupki.gov.ru/epz/contract/contractCard/payment-info-and-target-of-order.html?reestrNumber=2091700050924000001#contractSubjects" TargetMode="External"/><Relationship Id="rId28" Type="http://schemas.openxmlformats.org/officeDocument/2006/relationships/hyperlink" Target="https://zakupki.gov.ru/epz/contract/contractCard/payment-info-and-target-of-order.html?reestrNumber=3070300268224000020#contractSubjects" TargetMode="External"/><Relationship Id="rId27" Type="http://schemas.openxmlformats.org/officeDocument/2006/relationships/hyperlink" Target="https://zakupki.gov.ru/epz/contract/contractCard/payment-info-and-target-of-order.html?reestrNumber=3010504885024000035#contractSubjects" TargetMode="External"/><Relationship Id="rId26" Type="http://schemas.openxmlformats.org/officeDocument/2006/relationships/hyperlink" Target="https://zakupki.gov.ru/epz/contract/contractCard/payment-info-and-target-of-order.html?reestrNumber=2784042414222000034#contractSubjects" TargetMode="External"/><Relationship Id="rId25" Type="http://schemas.openxmlformats.org/officeDocument/2006/relationships/hyperlink" Target="https://zakupki.gov.ru/epz/contract/contractCard/payment-info-and-target-of-order.html?reestrNumber=3600200115224000003#contractSubjects" TargetMode="External"/><Relationship Id="rId24" Type="http://schemas.openxmlformats.org/officeDocument/2006/relationships/hyperlink" Target="https://zakupki.gov.ru/epz/contract/contractCard/payment-info-and-target-of-order.html?reestrNumber=3511100080923000038#contractSubjects" TargetMode="External"/><Relationship Id="rId23" Type="http://schemas.openxmlformats.org/officeDocument/2006/relationships/hyperlink" Target="https://zakupki.gov.ru/epz/contract/contractCard/payment-info-and-target-of-order.html?reestrNumber=3470200922724000004#contractSubjects" TargetMode="External"/><Relationship Id="rId22" Type="http://schemas.openxmlformats.org/officeDocument/2006/relationships/hyperlink" Target="https://zakupki.gov.ru/epz/contract/contractCard/payment-info-and-target-of-order.html?reestrNumber=3350000067824000022#contractSubjects" TargetMode="External"/><Relationship Id="rId21" Type="http://schemas.openxmlformats.org/officeDocument/2006/relationships/hyperlink" Target="https://zakupki.gov.ru/epz/contract/contractCard/document-info.html?reestrNumber=3246901000624000006&amp;contractInfoId=90061521" TargetMode="External"/><Relationship Id="rId20" Type="http://schemas.openxmlformats.org/officeDocument/2006/relationships/hyperlink" Target="https://zakupki.gov.ru/epz/contract/contractCard/payment-info-and-target-of-order.html?reestrNumber=3110204663024000014#contractSubjects" TargetMode="External"/><Relationship Id="rId2" Type="http://schemas.openxmlformats.org/officeDocument/2006/relationships/hyperlink" Target="https://zakupki.gov.ru/epz/contract/contractCard/payment-info-and-target-of-order.html?reestrNumber=3320900070624000005#contractSubjects" TargetMode="External"/><Relationship Id="rId19" Type="http://schemas.openxmlformats.org/officeDocument/2006/relationships/hyperlink" Target="https://zakupki.gov.ru/epz/contract/contractCard/payment-info-and-target-of-order.html?reestrNumber=3143302050624000003#contractSubjects" TargetMode="External"/><Relationship Id="rId18" Type="http://schemas.openxmlformats.org/officeDocument/2006/relationships/hyperlink" Target="https://zakupki.gov.ru/epz/contract/contractCard/payment-info-and-target-of-order.html?reestrNumber=3743600027324000028#contractSubjects" TargetMode="External"/><Relationship Id="rId17" Type="http://schemas.openxmlformats.org/officeDocument/2006/relationships/hyperlink" Target="https://zakupki.gov.ru/epz/contract/contractCard/payment-info-and-target-of-order.html?reestrNumber=3100000542724000013&amp;contractInfoId=90066300" TargetMode="External"/><Relationship Id="rId16" Type="http://schemas.openxmlformats.org/officeDocument/2006/relationships/hyperlink" Target="https://zakupki.gov.ru/epz/contract/contractCard/payment-info-and-target-of-order.html?reestrNumber=3500305735723000031#contractSubjects" TargetMode="External"/><Relationship Id="rId15" Type="http://schemas.openxmlformats.org/officeDocument/2006/relationships/hyperlink" Target="https://zakupki.gov.ru/epz/contract/contractCard/payment-info-and-target-of-order.html?reestrNumber=3713400079924000002#contractSubjects" TargetMode="External"/><Relationship Id="rId14" Type="http://schemas.openxmlformats.org/officeDocument/2006/relationships/hyperlink" Target="https://zakupki.gov.ru/epz/contract/contractCard/payment-info-and-target-of-order.html?reestrNumber=3760601190224000004#contractSubjects" TargetMode="External"/><Relationship Id="rId13" Type="http://schemas.openxmlformats.org/officeDocument/2006/relationships/hyperlink" Target="https://zakupki.gov.ru/epz/contract/contractCard/document-info.html?reestrNumber=3680000700624000010&amp;contractInfoId=89636245" TargetMode="External"/><Relationship Id="rId12" Type="http://schemas.openxmlformats.org/officeDocument/2006/relationships/hyperlink" Target="https://zakupki.gov.ru/epz/contract/contractCard/payment-info-and-target-of-order.html?reestrNumber=2673006238524000001#contractSubjects" TargetMode="External"/><Relationship Id="rId11" Type="http://schemas.openxmlformats.org/officeDocument/2006/relationships/hyperlink" Target="https://zakupki.gov.ru/epz/contract/contractCard/payment-info-and-target-of-order.html?reestrNumber=3620520113224000012#contractSubjects" TargetMode="External"/><Relationship Id="rId10" Type="http://schemas.openxmlformats.org/officeDocument/2006/relationships/hyperlink" Target="https://zakupki.gov.ru/epz/contract/contractCard/payment-info-and-target-of-order.html?reestrNumber=3570900180724000012#contractSubjects" TargetMode="External"/><Relationship Id="rId1" Type="http://schemas.openxmlformats.org/officeDocument/2006/relationships/hyperlink" Target="https://zakupki.gov.ru/epz/contract/contractCard/document-info.html?reestrNumber=3310600571023000040&amp;contractInfoId=86955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5"/>
  <sheetViews>
    <sheetView tabSelected="1" workbookViewId="0">
      <selection activeCell="O1" sqref="A$1:A$1048576;K$1:K$1048576;L$1:L$1048576;M$1:M$1048576;N$1:N$1048576;O$1:O$1048576"/>
    </sheetView>
  </sheetViews>
  <sheetFormatPr defaultColWidth="9.14285714285714" defaultRowHeight="15"/>
  <cols>
    <col min="1" max="1" width="28" customWidth="1"/>
    <col min="2" max="2" width="19" customWidth="1"/>
    <col min="3" max="3" width="17.2857142857143" customWidth="1"/>
    <col min="4" max="4" width="28" customWidth="1"/>
    <col min="5" max="5" width="8.42857142857143" customWidth="1"/>
    <col min="6" max="6" width="10.1428571428571" customWidth="1"/>
    <col min="7" max="7" width="14.2857142857143" customWidth="1"/>
    <col min="8" max="8" width="17.2857142857143" customWidth="1"/>
    <col min="9" max="9" width="20.7142857142857" customWidth="1"/>
    <col min="10" max="11" width="15.4285714285714" customWidth="1"/>
    <col min="12" max="12" width="15.5714285714286" customWidth="1"/>
    <col min="13" max="14" width="19.2857142857143" customWidth="1"/>
    <col min="15" max="15" width="19.8571428571429" customWidth="1"/>
    <col min="16" max="16" width="20.7142857142857" customWidth="1"/>
  </cols>
  <sheetData>
    <row r="1" ht="30" customHeight="1" spans="1:1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/>
      <c r="K1" s="3" t="s">
        <v>8</v>
      </c>
      <c r="L1" s="3" t="s">
        <v>9</v>
      </c>
      <c r="M1" s="3" t="s">
        <v>10</v>
      </c>
      <c r="N1" s="3" t="s">
        <v>11</v>
      </c>
      <c r="O1" t="s">
        <v>12</v>
      </c>
    </row>
    <row r="2" s="1" customFormat="1" spans="1:14">
      <c r="A2" s="4" t="s">
        <v>13</v>
      </c>
      <c r="B2" s="4">
        <f>AVERAGE(B3,B22,B34,B48,B64,B72,B86)</f>
        <v>4588.8011249782</v>
      </c>
      <c r="C2" s="4">
        <f t="shared" ref="C2:I2" si="0">AVERAGE(C3,C22,C34,C48,C64,C72,C86)</f>
        <v>2970.67645102913</v>
      </c>
      <c r="D2" s="4">
        <f t="shared" si="0"/>
        <v>5874.78236634397</v>
      </c>
      <c r="E2" s="4">
        <f t="shared" si="0"/>
        <v>4585.22043247427</v>
      </c>
      <c r="F2" s="4">
        <f t="shared" si="0"/>
        <v>494.664892508285</v>
      </c>
      <c r="G2" s="4">
        <f t="shared" si="0"/>
        <v>1421.80665772719</v>
      </c>
      <c r="H2" s="4">
        <f t="shared" si="0"/>
        <v>301.994545613117</v>
      </c>
      <c r="I2" s="4">
        <f t="shared" si="0"/>
        <v>2845.00525575615</v>
      </c>
      <c r="J2" s="4"/>
      <c r="K2" s="4">
        <f>AVERAGE(K3,K22,K34,K48,K64,K72,K86)</f>
        <v>20269.1651869658</v>
      </c>
      <c r="L2" s="4">
        <f>AVERAGE(L3,L22,L34,L48,L64,L72,L86)</f>
        <v>10491.7426412873</v>
      </c>
      <c r="M2" s="4">
        <f>AVERAGE(M3,M22,M34,M48,M64,M72,M86)</f>
        <v>578094.926807191</v>
      </c>
      <c r="N2" s="4">
        <f>AVERAGE(N3,N22,N34,N48,N64,N72,N86)</f>
        <v>9777.42254567853</v>
      </c>
    </row>
    <row r="3" s="2" customFormat="1" spans="1:14">
      <c r="A3" s="5" t="s">
        <v>14</v>
      </c>
      <c r="B3" s="5">
        <f>AVERAGE(B4:B9,B11:B17,B19:B21)</f>
        <v>3603.915</v>
      </c>
      <c r="C3" s="5">
        <f t="shared" ref="C3:M3" si="1">AVERAGE(C4:C9,C11:C17,C19:C21)</f>
        <v>2524.59375</v>
      </c>
      <c r="D3" s="5">
        <f t="shared" si="1"/>
        <v>4520.69375</v>
      </c>
      <c r="E3" s="5">
        <f t="shared" si="1"/>
        <v>3913.545625</v>
      </c>
      <c r="F3" s="5">
        <f t="shared" si="1"/>
        <v>500.39625</v>
      </c>
      <c r="G3" s="5">
        <f t="shared" si="1"/>
        <v>787.02</v>
      </c>
      <c r="H3" s="5">
        <f t="shared" si="1"/>
        <v>267.14625</v>
      </c>
      <c r="I3" s="5">
        <f t="shared" si="1"/>
        <v>1716.92125</v>
      </c>
      <c r="J3" s="5"/>
      <c r="K3" s="5">
        <f t="shared" si="1"/>
        <v>15850.164375</v>
      </c>
      <c r="L3" s="5">
        <f t="shared" si="1"/>
        <v>7845.43</v>
      </c>
      <c r="M3" s="5">
        <f t="shared" si="1"/>
        <v>502605.050625</v>
      </c>
      <c r="N3" s="5">
        <f t="shared" ref="N3:N23" si="2">K3-L3</f>
        <v>8004.734375</v>
      </c>
    </row>
    <row r="4" spans="1:15">
      <c r="A4" s="6" t="s">
        <v>15</v>
      </c>
      <c r="B4" s="6">
        <f>1190+340+425+170+425+425+850</f>
        <v>3825</v>
      </c>
      <c r="C4" s="6">
        <v>850</v>
      </c>
      <c r="D4" s="6">
        <f>850+1615</f>
        <v>2465</v>
      </c>
      <c r="E4" s="6">
        <v>2975</v>
      </c>
      <c r="F4" s="6">
        <v>765</v>
      </c>
      <c r="G4" s="6">
        <v>1275</v>
      </c>
      <c r="H4" s="6">
        <v>85</v>
      </c>
      <c r="I4" s="6">
        <f>127.5+127.5</f>
        <v>255</v>
      </c>
      <c r="J4" s="6"/>
      <c r="K4" s="6">
        <f t="shared" ref="K4:K9" si="3">B4+C4+D4+E4+F4+G4</f>
        <v>12155</v>
      </c>
      <c r="L4" s="6">
        <f t="shared" ref="L4:L9" si="4">B4+C4+I4</f>
        <v>4930</v>
      </c>
      <c r="M4" s="6">
        <f>Постоянные!B2*H4+B4+C4+D4+E4+F4</f>
        <v>166005</v>
      </c>
      <c r="N4" s="3">
        <f t="shared" si="2"/>
        <v>7225</v>
      </c>
      <c r="O4" s="9" t="s">
        <v>16</v>
      </c>
    </row>
    <row r="5" spans="1:15">
      <c r="A5" s="6" t="s">
        <v>17</v>
      </c>
      <c r="B5" s="6">
        <f>2572.65</f>
        <v>2572.65</v>
      </c>
      <c r="C5" s="6">
        <v>2159.5</v>
      </c>
      <c r="D5" s="6">
        <f>20*H5</f>
        <v>4319</v>
      </c>
      <c r="E5" s="6">
        <v>3436.67</v>
      </c>
      <c r="F5" s="6">
        <f>412.9</f>
        <v>412.9</v>
      </c>
      <c r="G5" s="6">
        <v>2033.09</v>
      </c>
      <c r="H5" s="6">
        <v>215.95</v>
      </c>
      <c r="I5" s="6">
        <f>2520+678.97</f>
        <v>3198.97</v>
      </c>
      <c r="J5" s="6"/>
      <c r="K5" s="6">
        <f t="shared" si="3"/>
        <v>14933.81</v>
      </c>
      <c r="L5" s="6">
        <f t="shared" si="4"/>
        <v>7931.12</v>
      </c>
      <c r="M5" s="6">
        <f>Постоянные!B2*H5+B5+C5+D5+E5+F5</f>
        <v>407009.47</v>
      </c>
      <c r="N5" s="3">
        <f t="shared" si="2"/>
        <v>7002.69</v>
      </c>
      <c r="O5" s="9" t="s">
        <v>18</v>
      </c>
    </row>
    <row r="6" spans="1:15">
      <c r="A6" s="6" t="s">
        <v>19</v>
      </c>
      <c r="B6" s="6">
        <f>2264.77+1008.48+203.11+292.8+163.4</f>
        <v>3932.56</v>
      </c>
      <c r="C6" s="6">
        <f>10*H6</f>
        <v>1846.9</v>
      </c>
      <c r="D6" s="6">
        <f>20*H6</f>
        <v>3693.8</v>
      </c>
      <c r="E6" s="6">
        <v>3630.82</v>
      </c>
      <c r="F6" s="6">
        <v>689.42</v>
      </c>
      <c r="G6" s="6">
        <v>963.63</v>
      </c>
      <c r="H6" s="6">
        <v>184.69</v>
      </c>
      <c r="I6" s="6">
        <f>752.75+64.48*Постоянные!B3</f>
        <v>2042.35</v>
      </c>
      <c r="J6" s="6"/>
      <c r="K6" s="6">
        <f t="shared" si="3"/>
        <v>14757.13</v>
      </c>
      <c r="L6" s="6">
        <f t="shared" si="4"/>
        <v>7821.81</v>
      </c>
      <c r="M6" s="6">
        <f>Постоянные!B2*H6+B6+C6+D6+E6+F6</f>
        <v>350852.75</v>
      </c>
      <c r="N6" s="3">
        <f t="shared" si="2"/>
        <v>6935.32</v>
      </c>
      <c r="O6" s="9" t="s">
        <v>20</v>
      </c>
    </row>
    <row r="7" spans="1:15">
      <c r="A7" s="6" t="s">
        <v>21</v>
      </c>
      <c r="B7" s="6">
        <f>2834.53</f>
        <v>2834.53</v>
      </c>
      <c r="C7" s="6">
        <f>10*H7</f>
        <v>4979.6</v>
      </c>
      <c r="D7" s="6">
        <f>20*H7</f>
        <v>9959.2</v>
      </c>
      <c r="E7" s="6">
        <v>5798.22</v>
      </c>
      <c r="F7" s="6">
        <v>0</v>
      </c>
      <c r="G7" s="6">
        <v>0</v>
      </c>
      <c r="H7" s="6">
        <f>41.29+456.67</f>
        <v>497.96</v>
      </c>
      <c r="I7" s="6">
        <v>1800</v>
      </c>
      <c r="J7" s="6"/>
      <c r="K7" s="6">
        <f t="shared" si="3"/>
        <v>23571.55</v>
      </c>
      <c r="L7" s="6">
        <f t="shared" si="4"/>
        <v>9614.13</v>
      </c>
      <c r="M7" s="6">
        <f>Постоянные!B2*H7+B7+C7+D7+E7+F7</f>
        <v>932348.55</v>
      </c>
      <c r="N7" s="3">
        <f t="shared" si="2"/>
        <v>13957.42</v>
      </c>
      <c r="O7" s="9" t="s">
        <v>22</v>
      </c>
    </row>
    <row r="8" spans="1:15">
      <c r="A8" s="6" t="s">
        <v>23</v>
      </c>
      <c r="B8" s="6">
        <f>833.33+1166.66+7000</f>
        <v>8999.99</v>
      </c>
      <c r="C8" s="6">
        <v>4666.66</v>
      </c>
      <c r="D8" s="6">
        <v>3666.66</v>
      </c>
      <c r="E8" s="6">
        <v>6000</v>
      </c>
      <c r="F8" s="6">
        <v>440</v>
      </c>
      <c r="G8" s="6">
        <v>2666.66</v>
      </c>
      <c r="H8" s="6">
        <v>466.66</v>
      </c>
      <c r="I8" s="7">
        <v>1938.33</v>
      </c>
      <c r="J8" s="6"/>
      <c r="K8" s="6">
        <f t="shared" si="3"/>
        <v>26439.97</v>
      </c>
      <c r="L8" s="6">
        <f t="shared" si="4"/>
        <v>15604.98</v>
      </c>
      <c r="M8" s="6">
        <f>Постоянные!B2*H8+B8+C8+D8+E8+F8</f>
        <v>875427.81</v>
      </c>
      <c r="N8" s="3">
        <f t="shared" si="2"/>
        <v>10834.99</v>
      </c>
      <c r="O8" s="9" t="s">
        <v>24</v>
      </c>
    </row>
    <row r="9" spans="1:15">
      <c r="A9" s="6" t="s">
        <v>25</v>
      </c>
      <c r="B9" s="7">
        <f>3848+1150+750</f>
        <v>5748</v>
      </c>
      <c r="C9" s="7">
        <f>10*H9</f>
        <v>2640</v>
      </c>
      <c r="D9" s="7">
        <f>20*H9</f>
        <v>5280</v>
      </c>
      <c r="E9" s="6">
        <v>5564.67</v>
      </c>
      <c r="F9" s="7">
        <v>1412</v>
      </c>
      <c r="G9" s="6">
        <v>625</v>
      </c>
      <c r="H9" s="6">
        <v>264</v>
      </c>
      <c r="I9" s="7">
        <f>450+115.33*Постоянные!B3</f>
        <v>2756.6</v>
      </c>
      <c r="J9" s="6"/>
      <c r="K9" s="6">
        <f t="shared" si="3"/>
        <v>21269.67</v>
      </c>
      <c r="L9" s="6">
        <f t="shared" si="4"/>
        <v>11144.6</v>
      </c>
      <c r="M9" s="6">
        <f>Постоянные!B2*H9+B9+C9+D9+E9+F9</f>
        <v>502444.67</v>
      </c>
      <c r="N9" s="3">
        <f t="shared" si="2"/>
        <v>10125.07</v>
      </c>
      <c r="O9" s="10" t="s">
        <v>26</v>
      </c>
    </row>
    <row r="10" spans="1:14">
      <c r="A10" s="6" t="s">
        <v>27</v>
      </c>
      <c r="B10" s="6" t="s">
        <v>28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"/>
    </row>
    <row r="11" spans="1:15">
      <c r="A11" s="6" t="s">
        <v>29</v>
      </c>
      <c r="B11" s="6">
        <f>360+493.33+426.67+390+1033.34</f>
        <v>2703.34</v>
      </c>
      <c r="C11" s="6">
        <v>983.34</v>
      </c>
      <c r="D11" s="6">
        <f>983.33+2053.33</f>
        <v>3036.66</v>
      </c>
      <c r="E11" s="6">
        <v>3400</v>
      </c>
      <c r="F11" s="6">
        <v>330</v>
      </c>
      <c r="G11" s="6">
        <v>600</v>
      </c>
      <c r="H11" s="6">
        <v>333.33</v>
      </c>
      <c r="I11" s="6">
        <f>300+180</f>
        <v>480</v>
      </c>
      <c r="J11" s="6"/>
      <c r="K11" s="6">
        <f t="shared" ref="K11:K17" si="5">B11+C11+D11+E11+F11+G11</f>
        <v>11053.34</v>
      </c>
      <c r="L11" s="6">
        <f t="shared" ref="L11:L17" si="6">B11+C11+I11</f>
        <v>4166.68</v>
      </c>
      <c r="M11" s="6">
        <f>Постоянные!B2*H11+B11+C11+D11+E11+F11</f>
        <v>618780.59</v>
      </c>
      <c r="N11" s="3">
        <f t="shared" si="2"/>
        <v>6886.66</v>
      </c>
      <c r="O11" s="9" t="s">
        <v>30</v>
      </c>
    </row>
    <row r="12" spans="1:15">
      <c r="A12" s="6" t="s">
        <v>31</v>
      </c>
      <c r="B12" s="6">
        <f>3800+320</f>
        <v>4120</v>
      </c>
      <c r="C12" s="6">
        <f t="shared" ref="C12:C17" si="7">10*H12</f>
        <v>2700</v>
      </c>
      <c r="D12" s="6">
        <f t="shared" ref="D12:D17" si="8">20*H12</f>
        <v>5400</v>
      </c>
      <c r="E12" s="6">
        <v>2800</v>
      </c>
      <c r="F12" s="6">
        <v>0</v>
      </c>
      <c r="G12" s="6">
        <v>600</v>
      </c>
      <c r="H12" s="6">
        <v>270</v>
      </c>
      <c r="I12" s="6">
        <f>900+700</f>
        <v>1600</v>
      </c>
      <c r="J12" s="6"/>
      <c r="K12" s="6">
        <f t="shared" si="5"/>
        <v>15620</v>
      </c>
      <c r="L12" s="6">
        <f t="shared" si="6"/>
        <v>8420</v>
      </c>
      <c r="M12" s="6">
        <f>Постоянные!B2*H12+B12+C12+D12+E12+F12</f>
        <v>507770</v>
      </c>
      <c r="N12" s="3">
        <f t="shared" si="2"/>
        <v>7200</v>
      </c>
      <c r="O12" s="10" t="s">
        <v>32</v>
      </c>
    </row>
    <row r="13" spans="1:15">
      <c r="A13" s="6" t="s">
        <v>33</v>
      </c>
      <c r="B13" s="6">
        <f>995+1074.32+330.51</f>
        <v>2399.83</v>
      </c>
      <c r="C13" s="6">
        <f t="shared" si="7"/>
        <v>1492.5</v>
      </c>
      <c r="D13" s="6">
        <f t="shared" si="8"/>
        <v>2985</v>
      </c>
      <c r="E13" s="6">
        <f>4059.27</f>
        <v>4059.27</v>
      </c>
      <c r="F13" s="6">
        <f>756.13+8.96</f>
        <v>765.09</v>
      </c>
      <c r="G13" s="6">
        <v>0</v>
      </c>
      <c r="H13" s="6">
        <v>149.25</v>
      </c>
      <c r="I13" s="6">
        <f>1366.62+1205.34</f>
        <v>2571.96</v>
      </c>
      <c r="J13" s="6"/>
      <c r="K13" s="6">
        <f t="shared" si="5"/>
        <v>11701.69</v>
      </c>
      <c r="L13" s="6">
        <f t="shared" si="6"/>
        <v>6464.29</v>
      </c>
      <c r="M13" s="6">
        <f>Постоянные!B2*H13+B13+C13+D13+E13+F13</f>
        <v>284082.94</v>
      </c>
      <c r="N13" s="3">
        <f t="shared" si="2"/>
        <v>5237.4</v>
      </c>
      <c r="O13" s="9" t="s">
        <v>34</v>
      </c>
    </row>
    <row r="14" spans="1:15">
      <c r="A14" s="6" t="s">
        <v>35</v>
      </c>
      <c r="B14" s="6">
        <f>3697.63+582.98</f>
        <v>4280.61</v>
      </c>
      <c r="C14" s="6">
        <f t="shared" si="7"/>
        <v>2051.2</v>
      </c>
      <c r="D14" s="6">
        <f t="shared" si="8"/>
        <v>4102.4</v>
      </c>
      <c r="E14" s="6">
        <v>3670.64</v>
      </c>
      <c r="F14" s="6">
        <v>0</v>
      </c>
      <c r="G14" s="6">
        <v>323.88</v>
      </c>
      <c r="H14" s="6">
        <v>205.12</v>
      </c>
      <c r="I14" s="6">
        <f>1023.64+755.72</f>
        <v>1779.36</v>
      </c>
      <c r="J14" s="6"/>
      <c r="K14" s="6">
        <f t="shared" si="5"/>
        <v>14428.73</v>
      </c>
      <c r="L14" s="6">
        <f t="shared" si="6"/>
        <v>8111.17</v>
      </c>
      <c r="M14" s="6">
        <f>Постоянные!B2*H14+B14+C14+D14+E14+F14</f>
        <v>388448.85</v>
      </c>
      <c r="N14" s="3">
        <f t="shared" si="2"/>
        <v>6317.56</v>
      </c>
      <c r="O14" s="9" t="s">
        <v>36</v>
      </c>
    </row>
    <row r="15" spans="1:15">
      <c r="A15" s="6" t="s">
        <v>37</v>
      </c>
      <c r="B15" s="6">
        <f>2542.42+236.15+119.48</f>
        <v>2898.05</v>
      </c>
      <c r="C15" s="6">
        <f t="shared" si="7"/>
        <v>2095.3</v>
      </c>
      <c r="D15" s="6">
        <f t="shared" si="8"/>
        <v>4190.6</v>
      </c>
      <c r="E15" s="6">
        <v>3028.23</v>
      </c>
      <c r="F15" s="6">
        <v>262.29</v>
      </c>
      <c r="G15" s="6">
        <v>708.97</v>
      </c>
      <c r="H15" s="6">
        <v>209.53</v>
      </c>
      <c r="I15" s="6">
        <f>703.59+782.56</f>
        <v>1486.15</v>
      </c>
      <c r="J15" s="6"/>
      <c r="K15" s="6">
        <f t="shared" si="5"/>
        <v>13183.44</v>
      </c>
      <c r="L15" s="6">
        <f t="shared" si="6"/>
        <v>6479.5</v>
      </c>
      <c r="M15" s="6">
        <f>Постоянные!B2*H15+B15+C15+D15+E15+F15</f>
        <v>394866.72</v>
      </c>
      <c r="N15" s="3">
        <f t="shared" si="2"/>
        <v>6703.94</v>
      </c>
      <c r="O15" s="10" t="s">
        <v>38</v>
      </c>
    </row>
    <row r="16" spans="1:15">
      <c r="A16" s="6" t="s">
        <v>39</v>
      </c>
      <c r="B16" s="6">
        <f>2425+567.33+416.67+275</f>
        <v>3684</v>
      </c>
      <c r="C16" s="6">
        <f t="shared" si="7"/>
        <v>2916.7</v>
      </c>
      <c r="D16" s="6">
        <f t="shared" si="8"/>
        <v>5833.4</v>
      </c>
      <c r="E16" s="6">
        <v>5615.33</v>
      </c>
      <c r="F16" s="6">
        <v>660</v>
      </c>
      <c r="G16" s="6">
        <v>567.33</v>
      </c>
      <c r="H16" s="6">
        <v>291.67</v>
      </c>
      <c r="I16" s="6">
        <f>398.33+95.33*Постоянные!B3</f>
        <v>2304.93</v>
      </c>
      <c r="J16" s="6"/>
      <c r="K16" s="6">
        <f t="shared" si="5"/>
        <v>19276.76</v>
      </c>
      <c r="L16" s="6">
        <f t="shared" si="6"/>
        <v>8905.63</v>
      </c>
      <c r="M16" s="6">
        <f>Постоянные!B2*H16+B16+C16+D16+E16+F16</f>
        <v>551007.18</v>
      </c>
      <c r="N16" s="3">
        <f t="shared" si="2"/>
        <v>10371.13</v>
      </c>
      <c r="O16" s="9" t="s">
        <v>40</v>
      </c>
    </row>
    <row r="17" spans="1:15">
      <c r="A17" s="6" t="s">
        <v>41</v>
      </c>
      <c r="B17" s="6">
        <f>2362.77+665.49+794.41</f>
        <v>3822.67</v>
      </c>
      <c r="C17" s="6">
        <f t="shared" si="7"/>
        <v>2431.9</v>
      </c>
      <c r="D17" s="6">
        <f t="shared" si="8"/>
        <v>4863.8</v>
      </c>
      <c r="E17" s="6">
        <v>2451.43</v>
      </c>
      <c r="F17" s="6">
        <v>607.93</v>
      </c>
      <c r="G17" s="6">
        <v>765.21</v>
      </c>
      <c r="H17" s="6">
        <v>243.19</v>
      </c>
      <c r="I17" s="6">
        <f>505.51+400.06</f>
        <v>905.57</v>
      </c>
      <c r="J17" s="6"/>
      <c r="K17" s="6">
        <f t="shared" si="5"/>
        <v>14942.94</v>
      </c>
      <c r="L17" s="6">
        <f t="shared" si="6"/>
        <v>7160.14</v>
      </c>
      <c r="M17" s="6">
        <f>Постоянные!B2*H17+B17+C17+D17+E17+F17</f>
        <v>457999.48</v>
      </c>
      <c r="N17" s="3">
        <f t="shared" si="2"/>
        <v>7782.8</v>
      </c>
      <c r="O17" s="9" t="s">
        <v>42</v>
      </c>
    </row>
    <row r="18" spans="1:14">
      <c r="A18" s="6" t="s">
        <v>43</v>
      </c>
      <c r="B18" s="6" t="s">
        <v>44</v>
      </c>
      <c r="C18" s="6"/>
      <c r="D18" s="6"/>
      <c r="E18" s="6"/>
      <c r="F18" s="6"/>
      <c r="G18" s="6"/>
      <c r="I18" s="6"/>
      <c r="J18" s="6"/>
      <c r="K18" s="6"/>
      <c r="L18" s="6"/>
      <c r="M18" s="6"/>
      <c r="N18" s="3"/>
    </row>
    <row r="19" spans="1:15">
      <c r="A19" s="6" t="s">
        <v>45</v>
      </c>
      <c r="B19" s="6">
        <f>2130</f>
        <v>2130</v>
      </c>
      <c r="C19" s="6">
        <f>10*H19</f>
        <v>1270</v>
      </c>
      <c r="D19" s="6">
        <f>20*H19</f>
        <v>2540</v>
      </c>
      <c r="E19" s="6">
        <v>2915</v>
      </c>
      <c r="F19" s="6">
        <v>583</v>
      </c>
      <c r="G19" s="6">
        <v>320</v>
      </c>
      <c r="H19" s="6">
        <v>127</v>
      </c>
      <c r="I19" s="6">
        <f>1082+35.8*Постоянные!B3</f>
        <v>1798</v>
      </c>
      <c r="J19" s="6"/>
      <c r="K19" s="6">
        <f>B19+C19+D19+E19+F19+G19</f>
        <v>9758</v>
      </c>
      <c r="L19" s="6">
        <f>B19+C19+I19</f>
        <v>5198</v>
      </c>
      <c r="M19" s="6">
        <f>Постоянные!B2*H19+B19+C19+D19+E19+F19</f>
        <v>241213</v>
      </c>
      <c r="N19" s="3">
        <f t="shared" si="2"/>
        <v>4560</v>
      </c>
      <c r="O19" s="9" t="s">
        <v>46</v>
      </c>
    </row>
    <row r="20" spans="1:15">
      <c r="A20" s="6" t="s">
        <v>47</v>
      </c>
      <c r="B20" s="6">
        <f>1143.55+681+604</f>
        <v>2428.55</v>
      </c>
      <c r="C20" s="6">
        <f>10*H20</f>
        <v>2430</v>
      </c>
      <c r="D20" s="6">
        <f>20*H20</f>
        <v>4860</v>
      </c>
      <c r="E20" s="6">
        <v>2465</v>
      </c>
      <c r="F20" s="6">
        <v>395.61</v>
      </c>
      <c r="G20" s="6">
        <v>1143.55</v>
      </c>
      <c r="H20" s="6">
        <v>243</v>
      </c>
      <c r="I20" s="6">
        <f>1028.78+1524.74</f>
        <v>2553.52</v>
      </c>
      <c r="J20" s="6"/>
      <c r="K20" s="6">
        <f>B20+C20+D20+E20+F20+G20</f>
        <v>13722.71</v>
      </c>
      <c r="L20" s="6">
        <f>B20+C20+I20</f>
        <v>7412.07</v>
      </c>
      <c r="M20" s="6">
        <f>Постоянные!B2*H20+B20+C20+D20+E20+F20</f>
        <v>456054.16</v>
      </c>
      <c r="N20" s="3">
        <f t="shared" si="2"/>
        <v>6310.64</v>
      </c>
      <c r="O20" s="9" t="s">
        <v>48</v>
      </c>
    </row>
    <row r="21" spans="1:15">
      <c r="A21" s="6" t="s">
        <v>49</v>
      </c>
      <c r="B21" s="6">
        <f>637.46+645.4</f>
        <v>1282.86</v>
      </c>
      <c r="C21" s="6">
        <f>10*H21</f>
        <v>4879.9</v>
      </c>
      <c r="D21" s="6">
        <v>5135.58</v>
      </c>
      <c r="E21" s="6">
        <v>4806.45</v>
      </c>
      <c r="F21" s="6">
        <v>683.1</v>
      </c>
      <c r="G21" s="6">
        <v>0</v>
      </c>
      <c r="H21" s="6">
        <v>487.99</v>
      </c>
      <c r="I21" s="6">
        <v>0</v>
      </c>
      <c r="J21" s="6"/>
      <c r="K21" s="8">
        <f t="shared" ref="K21:K26" si="9">B21+C21+D21+E21+F21+G21</f>
        <v>16787.89</v>
      </c>
      <c r="L21" s="6">
        <f t="shared" ref="L21:L26" si="10">B21+C21+I21</f>
        <v>6162.76</v>
      </c>
      <c r="M21" s="6">
        <f>Постоянные!B2*H21+B21+C21+D21+E21+F21</f>
        <v>907369.64</v>
      </c>
      <c r="N21" s="3">
        <f t="shared" si="2"/>
        <v>10625.13</v>
      </c>
      <c r="O21" s="9" t="s">
        <v>50</v>
      </c>
    </row>
    <row r="22" s="2" customFormat="1" ht="19.5" spans="1:14">
      <c r="A22" s="5" t="s">
        <v>51</v>
      </c>
      <c r="B22" s="5">
        <f>AVERAGE(B23,B24,B26,B27,B29,B30,B32,B33)</f>
        <v>7301.8475</v>
      </c>
      <c r="C22" s="5">
        <f t="shared" ref="C22:I22" si="11">AVERAGE(C23,C24,C26,C27,C29,C30,C32,C33)</f>
        <v>4377.3375</v>
      </c>
      <c r="D22" s="5">
        <f t="shared" si="11"/>
        <v>8817.175</v>
      </c>
      <c r="E22" s="5">
        <f t="shared" si="11"/>
        <v>7937.6725</v>
      </c>
      <c r="F22" s="5">
        <f t="shared" si="11"/>
        <v>554.78</v>
      </c>
      <c r="G22" s="5">
        <f t="shared" si="11"/>
        <v>1741.71875</v>
      </c>
      <c r="H22" s="5">
        <f t="shared" si="11"/>
        <v>437.73375</v>
      </c>
      <c r="I22" s="5">
        <f t="shared" si="11"/>
        <v>4821.7925</v>
      </c>
      <c r="J22" s="5"/>
      <c r="K22" s="5">
        <f>AVERAGE(K23,K24,K26,K27,K29,K30,K32,K33)</f>
        <v>30730.53125</v>
      </c>
      <c r="L22" s="5">
        <f>AVERAGE(L23,L24,L26,L27,L29,L30,L32,L33)</f>
        <v>16500.9775</v>
      </c>
      <c r="M22" s="5">
        <f>AVERAGE(M23,M24,M26,M27,M29,M30,M32,M33)</f>
        <v>827852.90625</v>
      </c>
      <c r="N22" s="5">
        <f>AVERAGE(N23,N24,N26,N27,N29,N30,N32,N33)</f>
        <v>14229.55375</v>
      </c>
    </row>
    <row r="23" spans="1:15">
      <c r="A23" s="6" t="s">
        <v>52</v>
      </c>
      <c r="B23" s="6">
        <f>3402.5+497.5+330+414.76</f>
        <v>4644.76</v>
      </c>
      <c r="C23" s="6">
        <v>5000</v>
      </c>
      <c r="D23" s="6">
        <f>20*H23+500</f>
        <v>10500</v>
      </c>
      <c r="E23" s="6">
        <v>4600</v>
      </c>
      <c r="F23" s="6">
        <v>485.24</v>
      </c>
      <c r="G23" s="6">
        <v>2500</v>
      </c>
      <c r="H23" s="6">
        <v>500</v>
      </c>
      <c r="I23" s="6">
        <f>900</f>
        <v>900</v>
      </c>
      <c r="J23" s="6"/>
      <c r="K23" s="11">
        <f t="shared" si="9"/>
        <v>27730</v>
      </c>
      <c r="L23" s="6">
        <f t="shared" si="10"/>
        <v>10544.76</v>
      </c>
      <c r="M23" s="6">
        <f>Постоянные!B2*H23+B23+C23+D23+E23+F23</f>
        <v>937730</v>
      </c>
      <c r="N23" s="3">
        <f t="shared" si="2"/>
        <v>17185.24</v>
      </c>
      <c r="O23" s="9" t="s">
        <v>53</v>
      </c>
    </row>
    <row r="24" spans="1:15">
      <c r="A24" s="6" t="s">
        <v>54</v>
      </c>
      <c r="B24" s="6">
        <f>16800+1020+900</f>
        <v>18720</v>
      </c>
      <c r="C24" s="6">
        <f>10*H24</f>
        <v>4670</v>
      </c>
      <c r="D24" s="6">
        <f>20*H24</f>
        <v>9340</v>
      </c>
      <c r="E24" s="6">
        <v>11280</v>
      </c>
      <c r="F24" s="6">
        <v>626</v>
      </c>
      <c r="G24" s="6">
        <v>1320</v>
      </c>
      <c r="H24" s="6">
        <v>467</v>
      </c>
      <c r="I24" s="6">
        <v>13200</v>
      </c>
      <c r="J24" s="6"/>
      <c r="K24" s="11">
        <f t="shared" si="9"/>
        <v>45956</v>
      </c>
      <c r="L24" s="6">
        <f t="shared" si="10"/>
        <v>36590</v>
      </c>
      <c r="M24" s="6">
        <f>Постоянные!B2*H24+B24+C24+D24+E24+F24</f>
        <v>896911</v>
      </c>
      <c r="N24" s="3">
        <f t="shared" ref="N24:N29" si="12">K24-L24</f>
        <v>9366</v>
      </c>
      <c r="O24" s="9" t="s">
        <v>55</v>
      </c>
    </row>
    <row r="25" spans="1:15">
      <c r="A25" s="6" t="s">
        <v>56</v>
      </c>
      <c r="B25" s="6" t="s">
        <v>44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0"/>
    </row>
    <row r="26" ht="21" spans="1:15">
      <c r="A26" s="6" t="s">
        <v>57</v>
      </c>
      <c r="B26" s="6">
        <f>6616.67+1000+1200</f>
        <v>8816.67</v>
      </c>
      <c r="C26" s="6">
        <f>10*H26</f>
        <v>9000</v>
      </c>
      <c r="D26" s="6">
        <f>20*H26</f>
        <v>18000</v>
      </c>
      <c r="E26" s="6">
        <v>19000</v>
      </c>
      <c r="F26" s="6">
        <v>1000</v>
      </c>
      <c r="G26" s="6">
        <v>2550</v>
      </c>
      <c r="H26" s="6">
        <v>900</v>
      </c>
      <c r="I26" s="6">
        <f>4166.67+3166.67</f>
        <v>7333.34</v>
      </c>
      <c r="J26" s="6"/>
      <c r="K26" s="11">
        <f t="shared" si="9"/>
        <v>58366.67</v>
      </c>
      <c r="L26" s="6">
        <f t="shared" si="10"/>
        <v>25150.01</v>
      </c>
      <c r="M26" s="6">
        <f>Постоянные!B2*H26+B26+C26+D26+E26+F26</f>
        <v>1698316.67</v>
      </c>
      <c r="N26" s="3">
        <f t="shared" si="12"/>
        <v>33216.66</v>
      </c>
      <c r="O26" s="9" t="s">
        <v>58</v>
      </c>
    </row>
    <row r="27" spans="1:15">
      <c r="A27" s="6" t="s">
        <v>59</v>
      </c>
      <c r="B27" s="6">
        <f>1450+550+500+100+900</f>
        <v>3500</v>
      </c>
      <c r="C27" s="6">
        <f>10*H27</f>
        <v>1480</v>
      </c>
      <c r="D27" s="6">
        <f>20*H27</f>
        <v>2960</v>
      </c>
      <c r="E27" s="6">
        <v>11400</v>
      </c>
      <c r="F27" s="6">
        <v>0</v>
      </c>
      <c r="G27" s="8">
        <v>2700</v>
      </c>
      <c r="H27" s="6">
        <v>148</v>
      </c>
      <c r="I27" s="8">
        <f>3000</f>
        <v>3000</v>
      </c>
      <c r="J27" s="6"/>
      <c r="K27" s="11">
        <f t="shared" ref="K27:K33" si="13">B27+C27+D27+E27+F27+G27</f>
        <v>22040</v>
      </c>
      <c r="L27" s="6">
        <f t="shared" ref="L27:L33" si="14">B27+C27+I27</f>
        <v>7980</v>
      </c>
      <c r="M27" s="6">
        <f>Постоянные!B2*H27+B27+C27+D27+E27+F27</f>
        <v>289440</v>
      </c>
      <c r="N27" s="3">
        <f t="shared" si="12"/>
        <v>14060</v>
      </c>
      <c r="O27" s="10" t="s">
        <v>60</v>
      </c>
    </row>
    <row r="28" spans="1:14">
      <c r="A28" s="6" t="s">
        <v>61</v>
      </c>
      <c r="B28" s="6" t="s">
        <v>44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>
      <c r="A29" s="6" t="s">
        <v>62</v>
      </c>
      <c r="B29" s="6">
        <f>5133.33+286.67+596.67+430+1133.33</f>
        <v>7580</v>
      </c>
      <c r="C29" s="6">
        <v>7200</v>
      </c>
      <c r="D29" s="6">
        <f>20*H29</f>
        <v>14400</v>
      </c>
      <c r="E29" s="6">
        <v>5650</v>
      </c>
      <c r="F29" s="6">
        <v>610</v>
      </c>
      <c r="G29" s="6">
        <v>1035</v>
      </c>
      <c r="H29" s="6">
        <v>720</v>
      </c>
      <c r="I29" s="8">
        <f>2434.67+228.33</f>
        <v>2663</v>
      </c>
      <c r="J29" s="6"/>
      <c r="K29" s="11">
        <f t="shared" si="13"/>
        <v>36475</v>
      </c>
      <c r="L29" s="6">
        <f t="shared" si="14"/>
        <v>17443</v>
      </c>
      <c r="M29" s="6">
        <f>Постоянные!B2*H29+B29+C29+D29+E29+F29</f>
        <v>1349440</v>
      </c>
      <c r="N29" s="3">
        <f t="shared" si="12"/>
        <v>19032</v>
      </c>
      <c r="O29" s="9" t="s">
        <v>63</v>
      </c>
    </row>
    <row r="30" spans="1:15">
      <c r="A30" s="6" t="s">
        <v>64</v>
      </c>
      <c r="B30" s="6">
        <v>3232</v>
      </c>
      <c r="C30" s="6">
        <f>10*H30</f>
        <v>2810</v>
      </c>
      <c r="D30" s="6">
        <f>20*H30</f>
        <v>5620</v>
      </c>
      <c r="E30" s="6">
        <v>3500</v>
      </c>
      <c r="F30" s="6">
        <v>1117</v>
      </c>
      <c r="G30" s="6">
        <v>110</v>
      </c>
      <c r="H30" s="6">
        <v>281</v>
      </c>
      <c r="I30" s="8">
        <v>3900</v>
      </c>
      <c r="J30" s="6"/>
      <c r="K30" s="11">
        <f>B30+C30+D30+E30+F30+G30</f>
        <v>16389</v>
      </c>
      <c r="L30" s="6">
        <f>B30+C30+I30</f>
        <v>9942</v>
      </c>
      <c r="M30" s="6">
        <f>Постоянные!B2*H30+B30+C30+D30+E30+F30</f>
        <v>529104</v>
      </c>
      <c r="N30" s="3">
        <f t="shared" ref="N30:N33" si="15">K30-L30</f>
        <v>6447</v>
      </c>
      <c r="O30" s="9" t="s">
        <v>65</v>
      </c>
    </row>
    <row r="31" spans="1:14">
      <c r="A31" s="6" t="s">
        <v>66</v>
      </c>
      <c r="B31" s="6" t="s">
        <v>44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>
      <c r="A32" s="6" t="s">
        <v>67</v>
      </c>
      <c r="B32" s="6">
        <f>1723.1+927+321+214+357+214</f>
        <v>3756.1</v>
      </c>
      <c r="C32" s="6">
        <f>10*H32</f>
        <v>698.7</v>
      </c>
      <c r="D32" s="6">
        <f>20*H32</f>
        <v>1397.4</v>
      </c>
      <c r="E32" s="6">
        <v>4573</v>
      </c>
      <c r="F32" s="6">
        <v>600</v>
      </c>
      <c r="G32" s="6">
        <v>894</v>
      </c>
      <c r="H32" s="6">
        <v>69.87</v>
      </c>
      <c r="I32" s="6">
        <f>429+1149</f>
        <v>1578</v>
      </c>
      <c r="J32" s="6"/>
      <c r="K32" s="11">
        <f t="shared" si="13"/>
        <v>11919.2</v>
      </c>
      <c r="L32" s="6">
        <f t="shared" si="14"/>
        <v>6032.8</v>
      </c>
      <c r="M32" s="6">
        <f>Постоянные!B2*H32+B32+C32+D32+E32+F32</f>
        <v>138537.95</v>
      </c>
      <c r="N32" s="3">
        <f t="shared" si="15"/>
        <v>5886.4</v>
      </c>
      <c r="O32" s="9" t="s">
        <v>68</v>
      </c>
    </row>
    <row r="33" spans="1:15">
      <c r="A33" s="6" t="s">
        <v>69</v>
      </c>
      <c r="B33" s="6">
        <v>8165.25</v>
      </c>
      <c r="C33" s="6">
        <f>10*H33</f>
        <v>4160</v>
      </c>
      <c r="D33" s="6">
        <f>20*H33</f>
        <v>8320</v>
      </c>
      <c r="E33" s="8">
        <v>3498.38</v>
      </c>
      <c r="F33" s="6">
        <v>0</v>
      </c>
      <c r="G33" s="6">
        <v>2824.75</v>
      </c>
      <c r="H33" s="6">
        <v>416</v>
      </c>
      <c r="I33" s="8">
        <v>6000</v>
      </c>
      <c r="J33" s="6"/>
      <c r="K33" s="11">
        <f t="shared" si="13"/>
        <v>26968.38</v>
      </c>
      <c r="L33" s="6">
        <f t="shared" si="14"/>
        <v>18325.25</v>
      </c>
      <c r="M33" s="6">
        <f>Постоянные!B2*H33+B33+C33+D33+E33+F33</f>
        <v>783343.63</v>
      </c>
      <c r="N33" s="3">
        <f t="shared" si="15"/>
        <v>8643.13</v>
      </c>
      <c r="O33" s="9" t="s">
        <v>70</v>
      </c>
    </row>
    <row r="34" s="2" customFormat="1" spans="1:14">
      <c r="A34" s="5" t="s">
        <v>71</v>
      </c>
      <c r="B34" s="5">
        <f>AVERAGE(B35,B38,B40,B42,B43,B44,B45,B46,B47)</f>
        <v>3994.59111111111</v>
      </c>
      <c r="C34" s="5">
        <f t="shared" ref="C34:I34" si="16">AVERAGE(C35,C38,C40,C42,C43,C44,C45,C46,C47)</f>
        <v>3195.55555555556</v>
      </c>
      <c r="D34" s="5">
        <f t="shared" si="16"/>
        <v>6391.11111111111</v>
      </c>
      <c r="E34" s="5">
        <f t="shared" si="16"/>
        <v>3161.07777777778</v>
      </c>
      <c r="F34" s="5">
        <f t="shared" si="16"/>
        <v>858.004444444444</v>
      </c>
      <c r="G34" s="5">
        <f t="shared" si="16"/>
        <v>884.698888888889</v>
      </c>
      <c r="H34" s="5">
        <f t="shared" si="16"/>
        <v>319.555555555556</v>
      </c>
      <c r="I34" s="5">
        <f t="shared" si="16"/>
        <v>2032.09</v>
      </c>
      <c r="J34" s="5"/>
      <c r="K34" s="5">
        <f>AVERAGE(K35,K38,K40,K42,K43,K44,K45,K46,K47)</f>
        <v>18485.0388888889</v>
      </c>
      <c r="L34" s="5">
        <f>AVERAGE(L35,L38,L40,L42,L43,L44,L45,L46,L47)</f>
        <v>9222.23666666667</v>
      </c>
      <c r="M34" s="5">
        <f>AVERAGE(M35,M38,M40,M42,M43,M44,M45,M46,M47)</f>
        <v>600789.228888889</v>
      </c>
      <c r="N34" s="5">
        <f>AVERAGE(N35,N38,N40,N42,N43,N44,N45,N46,N47)</f>
        <v>9262.80222222222</v>
      </c>
    </row>
    <row r="35" spans="1:15">
      <c r="A35" s="6" t="s">
        <v>72</v>
      </c>
      <c r="B35" s="6">
        <f>1150+262.5+466.25+2400</f>
        <v>4278.75</v>
      </c>
      <c r="C35" s="6">
        <f t="shared" ref="C35:C40" si="17">10*H35</f>
        <v>2820</v>
      </c>
      <c r="D35" s="6">
        <f t="shared" ref="D35:D40" si="18">20*H35</f>
        <v>5640</v>
      </c>
      <c r="E35" s="6">
        <v>4050</v>
      </c>
      <c r="F35" s="6">
        <v>825</v>
      </c>
      <c r="G35" s="6">
        <v>716.25</v>
      </c>
      <c r="H35" s="6">
        <v>282</v>
      </c>
      <c r="I35" s="6">
        <f>400</f>
        <v>400</v>
      </c>
      <c r="J35" s="6"/>
      <c r="K35" s="11">
        <f t="shared" ref="K35:K40" si="19">B35+C35+D35+E35+F35+G35</f>
        <v>18330</v>
      </c>
      <c r="L35" s="6">
        <f t="shared" ref="L35:L40" si="20">B35+C35+I35</f>
        <v>7498.75</v>
      </c>
      <c r="M35" s="6">
        <f>Постоянные!B2*H35+B35+C35+D35+E35+F35</f>
        <v>532263.75</v>
      </c>
      <c r="N35" s="3">
        <f t="shared" ref="N35:N40" si="21">K35-L35</f>
        <v>10831.25</v>
      </c>
      <c r="O35" s="9" t="s">
        <v>73</v>
      </c>
    </row>
    <row r="36" spans="1:14">
      <c r="A36" s="6" t="s">
        <v>74</v>
      </c>
      <c r="B36" s="6" t="s">
        <v>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 t="s">
        <v>75</v>
      </c>
      <c r="B37" s="6" t="s">
        <v>44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ht="21" spans="1:15">
      <c r="A38" s="6" t="s">
        <v>76</v>
      </c>
      <c r="B38" s="6">
        <f>2300+1540+550+900</f>
        <v>5290</v>
      </c>
      <c r="C38" s="6">
        <f t="shared" si="17"/>
        <v>8500</v>
      </c>
      <c r="D38" s="6">
        <f t="shared" si="18"/>
        <v>17000</v>
      </c>
      <c r="E38" s="6">
        <v>4000</v>
      </c>
      <c r="F38" s="6">
        <v>1000</v>
      </c>
      <c r="G38" s="6">
        <v>1000</v>
      </c>
      <c r="H38" s="6">
        <v>850</v>
      </c>
      <c r="I38" s="6">
        <f>220+20*Постоянные!B3</f>
        <v>620</v>
      </c>
      <c r="J38" s="6"/>
      <c r="K38" s="11">
        <f t="shared" si="19"/>
        <v>36790</v>
      </c>
      <c r="L38" s="6">
        <f t="shared" si="20"/>
        <v>14410</v>
      </c>
      <c r="M38" s="6">
        <f>Постоянные!B2*H38+B38+C38+D38+E38+F38</f>
        <v>1587040</v>
      </c>
      <c r="N38" s="3">
        <f t="shared" si="21"/>
        <v>22380</v>
      </c>
      <c r="O38" s="9" t="s">
        <v>77</v>
      </c>
    </row>
    <row r="39" spans="1:14">
      <c r="A39" s="6" t="s">
        <v>78</v>
      </c>
      <c r="B39" s="6" t="s">
        <v>44</v>
      </c>
      <c r="C39" s="6"/>
      <c r="D39" s="6"/>
      <c r="E39" s="6"/>
      <c r="F39" s="6"/>
      <c r="G39" s="6"/>
      <c r="I39" s="6"/>
      <c r="J39" s="6"/>
      <c r="K39" s="6"/>
      <c r="L39" s="6"/>
      <c r="M39" s="6"/>
      <c r="N39" s="6"/>
    </row>
    <row r="40" ht="21" spans="1:15">
      <c r="A40" s="6" t="s">
        <v>79</v>
      </c>
      <c r="B40" s="6">
        <f>1533.33+3533.33+533.33+933.33</f>
        <v>6533.32</v>
      </c>
      <c r="C40" s="6">
        <f t="shared" si="17"/>
        <v>3600</v>
      </c>
      <c r="D40" s="6">
        <f t="shared" si="18"/>
        <v>7200</v>
      </c>
      <c r="E40" s="6">
        <v>5066.66</v>
      </c>
      <c r="F40" s="6">
        <v>1000</v>
      </c>
      <c r="G40" s="6">
        <v>1533.33</v>
      </c>
      <c r="H40" s="6">
        <v>360</v>
      </c>
      <c r="I40" s="6">
        <f>166.66+166.66*Постоянные!B3</f>
        <v>3499.86</v>
      </c>
      <c r="J40" s="6"/>
      <c r="K40" s="11">
        <f t="shared" si="19"/>
        <v>24933.31</v>
      </c>
      <c r="L40" s="6">
        <f t="shared" si="20"/>
        <v>13633.18</v>
      </c>
      <c r="M40" s="6">
        <f>Постоянные!B2*H40+B40+C40+D40+E40+F40</f>
        <v>680399.98</v>
      </c>
      <c r="N40" s="3">
        <f t="shared" si="21"/>
        <v>11300.13</v>
      </c>
      <c r="O40" s="9" t="s">
        <v>80</v>
      </c>
    </row>
    <row r="41" ht="21" spans="1:14">
      <c r="A41" s="6" t="s">
        <v>81</v>
      </c>
      <c r="B41" s="6" t="s">
        <v>44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>
      <c r="A42" s="6" t="s">
        <v>82</v>
      </c>
      <c r="B42" s="6">
        <f>200+400+2000+400</f>
        <v>3000</v>
      </c>
      <c r="C42" s="6">
        <f>10*H42</f>
        <v>1000</v>
      </c>
      <c r="D42" s="6">
        <f>20*H42</f>
        <v>2000</v>
      </c>
      <c r="E42" s="6">
        <v>2300</v>
      </c>
      <c r="F42" s="6">
        <v>193</v>
      </c>
      <c r="G42" s="6">
        <v>490</v>
      </c>
      <c r="H42" s="6">
        <v>100</v>
      </c>
      <c r="I42" s="6">
        <f>149+150*Постоянные!B3</f>
        <v>3149</v>
      </c>
      <c r="J42" s="6"/>
      <c r="K42" s="11">
        <f t="shared" ref="K42:K47" si="22">B42+C42+D42+E42+F42+G42</f>
        <v>8983</v>
      </c>
      <c r="L42" s="6">
        <f t="shared" ref="L42:L47" si="23">B42+C42+I42</f>
        <v>7149</v>
      </c>
      <c r="M42" s="6">
        <f>Постоянные!B2*H42+B42+C42+D42+E42+F42</f>
        <v>190993</v>
      </c>
      <c r="N42" s="3">
        <f t="shared" ref="N42:N47" si="24">K42-L42</f>
        <v>1834</v>
      </c>
      <c r="O42" s="9" t="s">
        <v>83</v>
      </c>
    </row>
    <row r="43" spans="1:15">
      <c r="A43" s="6" t="s">
        <v>84</v>
      </c>
      <c r="B43" s="6">
        <f>2500+750</f>
        <v>3250</v>
      </c>
      <c r="C43" s="6">
        <f>10*H43</f>
        <v>2000</v>
      </c>
      <c r="D43" s="6">
        <f>20*H43</f>
        <v>4000</v>
      </c>
      <c r="E43" s="6">
        <v>3300</v>
      </c>
      <c r="F43" s="6">
        <v>600</v>
      </c>
      <c r="G43" s="6">
        <v>650</v>
      </c>
      <c r="H43" s="6">
        <v>200</v>
      </c>
      <c r="I43" s="6">
        <f>360+486.67</f>
        <v>846.67</v>
      </c>
      <c r="J43" s="6"/>
      <c r="K43" s="11">
        <f t="shared" si="22"/>
        <v>13800</v>
      </c>
      <c r="L43" s="6">
        <f t="shared" si="23"/>
        <v>6096.67</v>
      </c>
      <c r="M43" s="6">
        <f>Постоянные!B2*H43+B43+C43+D43+E43+F43</f>
        <v>378150</v>
      </c>
      <c r="N43" s="3">
        <f t="shared" si="24"/>
        <v>7703.33</v>
      </c>
      <c r="O43" s="9" t="s">
        <v>85</v>
      </c>
    </row>
    <row r="44" spans="1:15">
      <c r="A44" s="6" t="s">
        <v>86</v>
      </c>
      <c r="B44" s="6">
        <f>375.02+241.08+656.28+1526.87</f>
        <v>2799.25</v>
      </c>
      <c r="C44" s="6">
        <f t="shared" ref="C44:C51" si="25">10*H44</f>
        <v>2960</v>
      </c>
      <c r="D44" s="6">
        <f t="shared" ref="D44:D51" si="26">20*H44</f>
        <v>5920</v>
      </c>
      <c r="E44" s="6">
        <v>1861.71</v>
      </c>
      <c r="F44" s="6">
        <v>304.04</v>
      </c>
      <c r="G44" s="6">
        <v>602.71</v>
      </c>
      <c r="H44" s="8">
        <v>296</v>
      </c>
      <c r="I44" s="6">
        <f>80.36*Постоянные!B3+166.08</f>
        <v>1773.28</v>
      </c>
      <c r="J44" s="6"/>
      <c r="K44" s="11">
        <f t="shared" si="22"/>
        <v>14447.71</v>
      </c>
      <c r="L44" s="6">
        <f t="shared" si="23"/>
        <v>7532.53</v>
      </c>
      <c r="M44" s="6">
        <f>Постоянные!B2*H44+B44+C44+D44+E44+F44</f>
        <v>554045</v>
      </c>
      <c r="N44" s="3">
        <f t="shared" si="24"/>
        <v>6915.18</v>
      </c>
      <c r="O44" s="9" t="s">
        <v>87</v>
      </c>
    </row>
    <row r="45" spans="1:15">
      <c r="A45" s="6" t="s">
        <v>88</v>
      </c>
      <c r="B45" s="6">
        <f>3000+1000</f>
        <v>4000</v>
      </c>
      <c r="C45" s="6">
        <f t="shared" si="25"/>
        <v>3800</v>
      </c>
      <c r="D45" s="6">
        <f t="shared" si="26"/>
        <v>7600</v>
      </c>
      <c r="E45" s="6">
        <v>3833.33</v>
      </c>
      <c r="F45" s="6">
        <v>2000</v>
      </c>
      <c r="G45" s="6">
        <v>1570</v>
      </c>
      <c r="H45" s="6">
        <v>380</v>
      </c>
      <c r="I45" s="8">
        <f>2000+550</f>
        <v>2550</v>
      </c>
      <c r="J45" s="6"/>
      <c r="K45" s="11">
        <f t="shared" si="22"/>
        <v>22803.33</v>
      </c>
      <c r="L45" s="6">
        <f t="shared" si="23"/>
        <v>10350</v>
      </c>
      <c r="M45" s="6">
        <f>Постоянные!B2*H45+B45+C45+D45+E45+F45</f>
        <v>714733.33</v>
      </c>
      <c r="N45" s="3">
        <f t="shared" si="24"/>
        <v>12453.33</v>
      </c>
      <c r="O45" s="9" t="s">
        <v>89</v>
      </c>
    </row>
    <row r="46" spans="1:15">
      <c r="A46" s="6" t="s">
        <v>90</v>
      </c>
      <c r="B46" s="6">
        <f>4000</f>
        <v>4000</v>
      </c>
      <c r="C46" s="6">
        <f t="shared" si="25"/>
        <v>3230</v>
      </c>
      <c r="D46" s="6">
        <f t="shared" si="26"/>
        <v>6460</v>
      </c>
      <c r="E46" s="6">
        <v>2438</v>
      </c>
      <c r="F46" s="6">
        <v>1400</v>
      </c>
      <c r="G46" s="6">
        <v>1000</v>
      </c>
      <c r="H46" s="6">
        <v>323</v>
      </c>
      <c r="I46" s="8">
        <f>2666.67+1833.33</f>
        <v>4500</v>
      </c>
      <c r="J46" s="6"/>
      <c r="K46" s="11">
        <f t="shared" si="22"/>
        <v>18528</v>
      </c>
      <c r="L46" s="6">
        <f t="shared" si="23"/>
        <v>11730</v>
      </c>
      <c r="M46" s="6">
        <f>Постоянные!B2*H46+B46+C46+D46+E46+F46</f>
        <v>607003</v>
      </c>
      <c r="N46" s="3">
        <f t="shared" si="24"/>
        <v>6798</v>
      </c>
      <c r="O46" s="10" t="s">
        <v>91</v>
      </c>
    </row>
    <row r="47" spans="1:15">
      <c r="A47" s="6" t="s">
        <v>92</v>
      </c>
      <c r="B47" s="6">
        <f>350+200+350+500+400+1000</f>
        <v>2800</v>
      </c>
      <c r="C47" s="6">
        <f t="shared" si="25"/>
        <v>850</v>
      </c>
      <c r="D47" s="6">
        <f t="shared" si="26"/>
        <v>1700</v>
      </c>
      <c r="E47" s="6">
        <v>1600</v>
      </c>
      <c r="F47" s="6">
        <v>400</v>
      </c>
      <c r="G47" s="6">
        <v>400</v>
      </c>
      <c r="H47" s="6">
        <v>85</v>
      </c>
      <c r="I47" s="6">
        <f>300+100+250+300</f>
        <v>950</v>
      </c>
      <c r="J47" s="6"/>
      <c r="K47" s="11">
        <f t="shared" si="22"/>
        <v>7750</v>
      </c>
      <c r="L47" s="6">
        <f t="shared" si="23"/>
        <v>4600</v>
      </c>
      <c r="M47" s="6">
        <f>Постоянные!B2*H47+B47+C47+D47+E47+F47</f>
        <v>162475</v>
      </c>
      <c r="N47" s="3">
        <f t="shared" si="24"/>
        <v>3150</v>
      </c>
      <c r="O47" s="9" t="s">
        <v>93</v>
      </c>
    </row>
    <row r="48" s="2" customFormat="1" spans="1:14">
      <c r="A48" s="5" t="s">
        <v>94</v>
      </c>
      <c r="B48" s="5">
        <f>AVERAGE(B49:B59,B61,B62,B63)</f>
        <v>2329.63357142857</v>
      </c>
      <c r="C48" s="5">
        <f t="shared" ref="C48:I48" si="27">AVERAGE(C49:C59,C61,C62,C63)</f>
        <v>2242.87142857143</v>
      </c>
      <c r="D48" s="5">
        <f t="shared" si="27"/>
        <v>4485.74285714286</v>
      </c>
      <c r="E48" s="5">
        <f t="shared" si="27"/>
        <v>3332.50571428571</v>
      </c>
      <c r="F48" s="5">
        <f t="shared" si="27"/>
        <v>224.732142857143</v>
      </c>
      <c r="G48" s="5">
        <f t="shared" si="27"/>
        <v>797.659285714286</v>
      </c>
      <c r="H48" s="5">
        <f t="shared" si="27"/>
        <v>244.088571428571</v>
      </c>
      <c r="I48" s="5">
        <f t="shared" si="27"/>
        <v>1898.35714285714</v>
      </c>
      <c r="J48" s="5"/>
      <c r="K48" s="5">
        <f>AVERAGE(K49:K59,K61,K62,K63)</f>
        <v>13413.145</v>
      </c>
      <c r="L48" s="5">
        <f>AVERAGE(L49:L59,L61,L62,L63)</f>
        <v>6470.86214285714</v>
      </c>
      <c r="M48" s="5">
        <f>AVERAGE(M49:M59,M61,M62,M63)</f>
        <v>432033.557142857</v>
      </c>
      <c r="N48" s="5">
        <f>AVERAGE(N49:N59,N61,N62,N63)</f>
        <v>6942.28285714286</v>
      </c>
    </row>
    <row r="49" spans="1:15">
      <c r="A49" s="6" t="s">
        <v>95</v>
      </c>
      <c r="B49" s="6">
        <f>355+420</f>
        <v>775</v>
      </c>
      <c r="C49" s="6">
        <f t="shared" si="25"/>
        <v>1740</v>
      </c>
      <c r="D49" s="6">
        <f t="shared" si="26"/>
        <v>3480</v>
      </c>
      <c r="E49" s="6">
        <v>1784</v>
      </c>
      <c r="F49" s="6">
        <v>924</v>
      </c>
      <c r="G49" s="6">
        <v>78</v>
      </c>
      <c r="H49" s="6">
        <v>174</v>
      </c>
      <c r="I49" s="6">
        <f>658+25*Постоянные!B3</f>
        <v>1158</v>
      </c>
      <c r="J49" s="6"/>
      <c r="K49" s="11">
        <f t="shared" ref="K49:K57" si="28">B49+C49+D49+E49+F49+G49</f>
        <v>8781</v>
      </c>
      <c r="L49" s="6">
        <f t="shared" ref="L49:L57" si="29">B49+C49+I49</f>
        <v>3673</v>
      </c>
      <c r="M49" s="6">
        <f>Постоянные!B2*H49+B49+C49+D49+E49+F49</f>
        <v>326253</v>
      </c>
      <c r="N49" s="3">
        <f t="shared" ref="N49:N57" si="30">K49-L49</f>
        <v>5108</v>
      </c>
      <c r="O49" s="9" t="s">
        <v>96</v>
      </c>
    </row>
    <row r="50" spans="1:15">
      <c r="A50" s="6" t="s">
        <v>97</v>
      </c>
      <c r="B50" s="6">
        <v>1383</v>
      </c>
      <c r="C50" s="6">
        <f t="shared" si="25"/>
        <v>2020</v>
      </c>
      <c r="D50" s="6">
        <f t="shared" si="26"/>
        <v>4040</v>
      </c>
      <c r="E50" s="6">
        <v>2301</v>
      </c>
      <c r="F50" s="6">
        <v>211</v>
      </c>
      <c r="G50" s="6">
        <v>647</v>
      </c>
      <c r="H50" s="6">
        <v>202</v>
      </c>
      <c r="I50" s="6">
        <f>1523+1637</f>
        <v>3160</v>
      </c>
      <c r="J50" s="6"/>
      <c r="K50" s="11">
        <f t="shared" si="28"/>
        <v>10602</v>
      </c>
      <c r="L50" s="6">
        <f t="shared" si="29"/>
        <v>6563</v>
      </c>
      <c r="M50" s="6">
        <f>Постоянные!B3*H50+B50+C50+D50+E50+F50</f>
        <v>13995</v>
      </c>
      <c r="N50" s="3">
        <f t="shared" si="30"/>
        <v>4039</v>
      </c>
      <c r="O50" s="9" t="s">
        <v>98</v>
      </c>
    </row>
    <row r="51" spans="1:15">
      <c r="A51" s="6" t="s">
        <v>99</v>
      </c>
      <c r="B51" s="6">
        <v>4068.33</v>
      </c>
      <c r="C51" s="6">
        <f t="shared" si="25"/>
        <v>2176.7</v>
      </c>
      <c r="D51" s="6">
        <f t="shared" si="26"/>
        <v>4353.4</v>
      </c>
      <c r="E51" s="6">
        <v>4826.67</v>
      </c>
      <c r="F51" s="6">
        <v>606</v>
      </c>
      <c r="G51" s="6">
        <v>1360</v>
      </c>
      <c r="H51" s="6">
        <v>217.67</v>
      </c>
      <c r="I51" s="6">
        <f>1466+1253</f>
        <v>2719</v>
      </c>
      <c r="J51" s="6"/>
      <c r="K51" s="11">
        <f t="shared" si="28"/>
        <v>17391.1</v>
      </c>
      <c r="L51" s="6">
        <f t="shared" si="29"/>
        <v>8964.03</v>
      </c>
      <c r="M51" s="6">
        <f>Постоянные!B2*H51+B51+C51+D51+E51+F51</f>
        <v>413278.85</v>
      </c>
      <c r="N51" s="3">
        <f t="shared" si="30"/>
        <v>8427.07</v>
      </c>
      <c r="O51" s="9" t="s">
        <v>100</v>
      </c>
    </row>
    <row r="52" spans="1:15">
      <c r="A52" s="6" t="s">
        <v>101</v>
      </c>
      <c r="B52" s="6">
        <f>350.92+538.4+387.72</f>
        <v>1277.04</v>
      </c>
      <c r="C52" s="6">
        <f>10*H52</f>
        <v>1089.9</v>
      </c>
      <c r="D52" s="6">
        <f>20*H52</f>
        <v>2179.8</v>
      </c>
      <c r="E52" s="6">
        <v>1003.91</v>
      </c>
      <c r="F52" s="6">
        <v>0</v>
      </c>
      <c r="G52" s="6">
        <v>387.72</v>
      </c>
      <c r="H52" s="6">
        <v>108.99</v>
      </c>
      <c r="I52" s="6">
        <f>773</f>
        <v>773</v>
      </c>
      <c r="J52" s="6"/>
      <c r="K52" s="11">
        <f t="shared" si="28"/>
        <v>5938.37</v>
      </c>
      <c r="L52" s="6">
        <f t="shared" si="29"/>
        <v>3139.94</v>
      </c>
      <c r="M52" s="6">
        <f>Постоянные!B2*H52+B52+C52+D52+E52+F52</f>
        <v>204457.4</v>
      </c>
      <c r="N52" s="3">
        <f t="shared" si="30"/>
        <v>2798.43</v>
      </c>
      <c r="O52" s="9" t="s">
        <v>102</v>
      </c>
    </row>
    <row r="53" spans="1:15">
      <c r="A53" s="6" t="s">
        <v>103</v>
      </c>
      <c r="B53" s="6">
        <v>4833.33</v>
      </c>
      <c r="C53" s="6">
        <v>0</v>
      </c>
      <c r="D53" s="6">
        <v>0</v>
      </c>
      <c r="E53" s="6">
        <v>8494.44</v>
      </c>
      <c r="F53" s="6">
        <v>0</v>
      </c>
      <c r="G53" s="6">
        <v>1611.11</v>
      </c>
      <c r="H53" s="6">
        <v>277.22</v>
      </c>
      <c r="I53" s="6">
        <f>887.46</f>
        <v>887.46</v>
      </c>
      <c r="J53" s="6"/>
      <c r="K53" s="11">
        <f t="shared" si="28"/>
        <v>14938.88</v>
      </c>
      <c r="L53" s="6">
        <f t="shared" si="29"/>
        <v>5720.79</v>
      </c>
      <c r="M53" s="6">
        <f>Постоянные!B2*H53+B53+C53+D53+E53+F53</f>
        <v>519254.27</v>
      </c>
      <c r="N53" s="3">
        <f t="shared" si="30"/>
        <v>9218.09</v>
      </c>
      <c r="O53" s="9" t="s">
        <v>104</v>
      </c>
    </row>
    <row r="54" spans="1:15">
      <c r="A54" s="6" t="s">
        <v>105</v>
      </c>
      <c r="B54" s="6">
        <f>1200</f>
        <v>1200</v>
      </c>
      <c r="C54" s="6">
        <f>10*H54</f>
        <v>951.3</v>
      </c>
      <c r="D54" s="6">
        <f>20*H54</f>
        <v>1902.6</v>
      </c>
      <c r="E54" s="6">
        <v>3272</v>
      </c>
      <c r="F54" s="6">
        <v>53.5</v>
      </c>
      <c r="G54" s="6">
        <v>600</v>
      </c>
      <c r="H54" s="6">
        <v>95.13</v>
      </c>
      <c r="I54" s="8">
        <v>2200</v>
      </c>
      <c r="J54" s="6"/>
      <c r="K54" s="11">
        <f t="shared" si="28"/>
        <v>7979.4</v>
      </c>
      <c r="L54" s="6">
        <f t="shared" si="29"/>
        <v>4351.3</v>
      </c>
      <c r="M54" s="6">
        <f>Постоянные!B2*H54+B54+C54+D54+E54+F54</f>
        <v>180991.65</v>
      </c>
      <c r="N54" s="3">
        <f t="shared" si="30"/>
        <v>3628.1</v>
      </c>
      <c r="O54" s="9" t="s">
        <v>106</v>
      </c>
    </row>
    <row r="55" spans="1:15">
      <c r="A55" s="6" t="s">
        <v>107</v>
      </c>
      <c r="B55" s="6">
        <f>290+290+335+1000+2100</f>
        <v>4015</v>
      </c>
      <c r="C55" s="6">
        <f>10*H55</f>
        <v>3730</v>
      </c>
      <c r="D55" s="6">
        <f>20*H55</f>
        <v>7460</v>
      </c>
      <c r="E55" s="6">
        <v>3100</v>
      </c>
      <c r="F55" s="6">
        <v>298.33</v>
      </c>
      <c r="G55" s="6">
        <v>650</v>
      </c>
      <c r="H55" s="6">
        <v>373</v>
      </c>
      <c r="I55" s="6">
        <f>120+100*Постоянные!B3</f>
        <v>2120</v>
      </c>
      <c r="J55" s="6"/>
      <c r="K55" s="11">
        <f t="shared" si="28"/>
        <v>19253.33</v>
      </c>
      <c r="L55" s="6">
        <f t="shared" si="29"/>
        <v>9865</v>
      </c>
      <c r="M55" s="6">
        <f>Постоянные!B2*H55+B55+C55+D55+E55+F55</f>
        <v>699328.33</v>
      </c>
      <c r="N55" s="3">
        <f t="shared" si="30"/>
        <v>9388.33</v>
      </c>
      <c r="O55" s="9" t="s">
        <v>108</v>
      </c>
    </row>
    <row r="56" spans="1:15">
      <c r="A56" s="6" t="s">
        <v>109</v>
      </c>
      <c r="B56" s="6">
        <f>2380.68+166.67+274.33</f>
        <v>2821.68</v>
      </c>
      <c r="C56" s="6">
        <f>10*H56</f>
        <v>1883.4</v>
      </c>
      <c r="D56" s="6">
        <f>20*H56</f>
        <v>3766.8</v>
      </c>
      <c r="E56" s="6">
        <v>4146.97</v>
      </c>
      <c r="F56" s="6">
        <v>0</v>
      </c>
      <c r="G56" s="6">
        <v>982.82</v>
      </c>
      <c r="H56" s="6">
        <f>140+48.34</f>
        <v>188.34</v>
      </c>
      <c r="I56" s="6">
        <f>854.07+1275.32</f>
        <v>2129.39</v>
      </c>
      <c r="J56" s="6"/>
      <c r="K56" s="11">
        <f t="shared" si="28"/>
        <v>13601.67</v>
      </c>
      <c r="L56" s="6">
        <f t="shared" si="29"/>
        <v>6834.47</v>
      </c>
      <c r="M56" s="6">
        <f>Постоянные!B2*H56+B56+C56+D56+E56+F56</f>
        <v>356339.35</v>
      </c>
      <c r="N56" s="3">
        <f t="shared" si="30"/>
        <v>6767.2</v>
      </c>
      <c r="O56" s="9" t="s">
        <v>110</v>
      </c>
    </row>
    <row r="57" spans="1:15">
      <c r="A57" s="6" t="s">
        <v>111</v>
      </c>
      <c r="B57" s="6">
        <v>2008</v>
      </c>
      <c r="C57" s="6">
        <f>10*H57</f>
        <v>2570</v>
      </c>
      <c r="D57" s="6">
        <f>20*H57</f>
        <v>5140</v>
      </c>
      <c r="E57" s="6">
        <v>3270</v>
      </c>
      <c r="F57" s="6">
        <v>312</v>
      </c>
      <c r="G57" s="6">
        <v>1375</v>
      </c>
      <c r="H57" s="6">
        <v>257</v>
      </c>
      <c r="I57" s="6">
        <f>374</f>
        <v>374</v>
      </c>
      <c r="J57" s="6"/>
      <c r="K57" s="11">
        <f t="shared" si="28"/>
        <v>14675</v>
      </c>
      <c r="L57" s="6">
        <f t="shared" si="29"/>
        <v>4952</v>
      </c>
      <c r="M57" s="6">
        <f>Постоянные!B2*H57+B57+C57+D57+E57+F57</f>
        <v>482325</v>
      </c>
      <c r="N57" s="3">
        <f t="shared" si="30"/>
        <v>9723</v>
      </c>
      <c r="O57" s="9" t="s">
        <v>112</v>
      </c>
    </row>
    <row r="58" spans="1:15">
      <c r="A58" s="6" t="s">
        <v>113</v>
      </c>
      <c r="B58" s="6">
        <f>593+333</f>
        <v>926</v>
      </c>
      <c r="C58" s="6">
        <f>10*H58</f>
        <v>1600</v>
      </c>
      <c r="D58" s="6">
        <f>20*H58</f>
        <v>3200</v>
      </c>
      <c r="E58" s="6">
        <v>2976</v>
      </c>
      <c r="F58" s="6">
        <v>54</v>
      </c>
      <c r="G58" s="6">
        <v>433</v>
      </c>
      <c r="H58" s="6">
        <v>160</v>
      </c>
      <c r="I58" s="6">
        <f>441+461</f>
        <v>902</v>
      </c>
      <c r="J58" s="6"/>
      <c r="K58" s="11">
        <f>B58+C58+D58+E58+F58+G58</f>
        <v>9189</v>
      </c>
      <c r="L58" s="6">
        <f>B58+C58+I58</f>
        <v>3428</v>
      </c>
      <c r="M58" s="6">
        <f>Постоянные!B2*H58+B58+C58+D58+E58+F58</f>
        <v>300756</v>
      </c>
      <c r="N58" s="3">
        <f>K58-L58</f>
        <v>5761</v>
      </c>
      <c r="O58" s="9" t="s">
        <v>114</v>
      </c>
    </row>
    <row r="59" spans="1:15">
      <c r="A59" s="6" t="s">
        <v>115</v>
      </c>
      <c r="B59" s="6">
        <f>588.8+202.82+1331.46</f>
        <v>2123.08</v>
      </c>
      <c r="C59" s="6">
        <f>10*H59</f>
        <v>1139.7</v>
      </c>
      <c r="D59" s="6">
        <f>20*H59</f>
        <v>2279.4</v>
      </c>
      <c r="E59" s="6">
        <v>2289.76</v>
      </c>
      <c r="F59" s="6">
        <v>0</v>
      </c>
      <c r="G59" s="6">
        <v>190.41</v>
      </c>
      <c r="H59" s="6">
        <v>113.97</v>
      </c>
      <c r="I59" s="6">
        <f>157.15*Постоянные!B3+619.63</f>
        <v>3762.63</v>
      </c>
      <c r="J59" s="6"/>
      <c r="K59" s="11">
        <f>B59+C59+D59+E59+F59+G59</f>
        <v>8022.35</v>
      </c>
      <c r="L59" s="6">
        <f>B59+C59+I59</f>
        <v>7025.41</v>
      </c>
      <c r="M59" s="6">
        <f>Постоянные!B2*H59+B59+C59+D59+E59+F59</f>
        <v>215827.19</v>
      </c>
      <c r="N59" s="3">
        <f>K59-L59</f>
        <v>996.940000000001</v>
      </c>
      <c r="O59" s="9" t="s">
        <v>116</v>
      </c>
    </row>
    <row r="60" ht="21" spans="1:14">
      <c r="A60" s="6" t="s">
        <v>117</v>
      </c>
      <c r="B60" s="6" t="s">
        <v>44</v>
      </c>
      <c r="C60" s="6"/>
      <c r="D60" s="6"/>
      <c r="E60" s="6"/>
      <c r="F60" s="6"/>
      <c r="G60" s="6"/>
      <c r="H60" s="6"/>
      <c r="J60" s="6"/>
      <c r="K60" s="6"/>
      <c r="L60" s="6"/>
      <c r="M60" s="6"/>
      <c r="N60" s="6"/>
    </row>
    <row r="61" spans="1:15">
      <c r="A61" s="6" t="s">
        <v>118</v>
      </c>
      <c r="B61" s="6">
        <f>1700+1450+300+300+200+153</f>
        <v>4103</v>
      </c>
      <c r="C61" s="6">
        <f>10*H61</f>
        <v>1500</v>
      </c>
      <c r="D61" s="6">
        <f>20*H61</f>
        <v>3000</v>
      </c>
      <c r="E61" s="6">
        <v>4000</v>
      </c>
      <c r="F61" s="6">
        <v>350</v>
      </c>
      <c r="G61" s="6">
        <f>1600+300+153</f>
        <v>2053</v>
      </c>
      <c r="H61" s="6">
        <v>150</v>
      </c>
      <c r="I61" s="6">
        <f>1000+1600</f>
        <v>2600</v>
      </c>
      <c r="J61" s="6"/>
      <c r="K61" s="11">
        <f>B61+C61+D61+E61+F61+G61</f>
        <v>15006</v>
      </c>
      <c r="L61" s="6">
        <f>B61+C61+I61</f>
        <v>8203</v>
      </c>
      <c r="M61" s="6">
        <f>Постоянные!B2*H61+B61+C61+D61+E61+F61</f>
        <v>286703</v>
      </c>
      <c r="N61" s="3">
        <f>K61-L61</f>
        <v>6803</v>
      </c>
      <c r="O61" s="9" t="s">
        <v>119</v>
      </c>
    </row>
    <row r="62" spans="1:15">
      <c r="A62" s="6" t="s">
        <v>120</v>
      </c>
      <c r="B62" s="6">
        <v>650</v>
      </c>
      <c r="C62" s="6">
        <f t="shared" ref="C62:C66" si="31">10*H62</f>
        <v>1900</v>
      </c>
      <c r="D62" s="6">
        <f t="shared" ref="D62:D66" si="32">20*H62</f>
        <v>3800</v>
      </c>
      <c r="E62" s="6">
        <v>3281</v>
      </c>
      <c r="F62" s="6">
        <v>54</v>
      </c>
      <c r="G62" s="6">
        <v>650</v>
      </c>
      <c r="H62" s="6">
        <v>190</v>
      </c>
      <c r="I62" s="8">
        <v>2500</v>
      </c>
      <c r="J62" s="6"/>
      <c r="K62" s="11">
        <f t="shared" ref="K62:K66" si="33">B62+C62+D62+E62+F62+G62</f>
        <v>10335</v>
      </c>
      <c r="L62" s="6">
        <f t="shared" ref="L62:L66" si="34">B62+C62+I62</f>
        <v>5050</v>
      </c>
      <c r="M62" s="6">
        <f>Постоянные!B2*H62+B62+C62+D62+E62+F62</f>
        <v>356435</v>
      </c>
      <c r="N62" s="3">
        <f t="shared" ref="N62:N66" si="35">K62-L62</f>
        <v>5285</v>
      </c>
      <c r="O62" s="9" t="s">
        <v>121</v>
      </c>
    </row>
    <row r="63" spans="1:15">
      <c r="A63" s="6" t="s">
        <v>122</v>
      </c>
      <c r="B63" s="6">
        <f>372.92+238.67+1819.82</f>
        <v>2431.41</v>
      </c>
      <c r="C63" s="6">
        <f t="shared" si="31"/>
        <v>9099.2</v>
      </c>
      <c r="D63" s="6">
        <f t="shared" si="32"/>
        <v>18198.4</v>
      </c>
      <c r="E63" s="6">
        <v>1909.33</v>
      </c>
      <c r="F63" s="6">
        <v>283.42</v>
      </c>
      <c r="G63" s="6">
        <v>149.17</v>
      </c>
      <c r="H63" s="6">
        <v>909.92</v>
      </c>
      <c r="I63" s="6">
        <f>149.91+1141.61</f>
        <v>1291.52</v>
      </c>
      <c r="J63" s="6"/>
      <c r="K63" s="11">
        <f t="shared" si="33"/>
        <v>32070.93</v>
      </c>
      <c r="L63" s="6">
        <f t="shared" si="34"/>
        <v>12822.13</v>
      </c>
      <c r="M63" s="6">
        <f>Постоянные!B2*H63+B63+C63+D63+E63+F63</f>
        <v>1692525.76</v>
      </c>
      <c r="N63" s="3">
        <f t="shared" si="35"/>
        <v>19248.8</v>
      </c>
      <c r="O63" s="9" t="s">
        <v>123</v>
      </c>
    </row>
    <row r="64" s="2" customFormat="1" spans="1:14">
      <c r="A64" s="5" t="s">
        <v>124</v>
      </c>
      <c r="B64" s="5">
        <f>AVERAGE(B66,B67,B69,B70,B71)</f>
        <v>5314.828</v>
      </c>
      <c r="C64" s="5">
        <f t="shared" ref="C64:I64" si="36">AVERAGE(C66,C67,C69,C70,C71)</f>
        <v>3256.8</v>
      </c>
      <c r="D64" s="5">
        <f t="shared" si="36"/>
        <v>6513.6</v>
      </c>
      <c r="E64" s="5">
        <f t="shared" si="36"/>
        <v>5283.89</v>
      </c>
      <c r="F64" s="5">
        <f t="shared" si="36"/>
        <v>651.443333333333</v>
      </c>
      <c r="G64" s="5">
        <f t="shared" si="36"/>
        <v>1599.3125</v>
      </c>
      <c r="H64" s="5">
        <f t="shared" si="36"/>
        <v>325.68</v>
      </c>
      <c r="I64" s="5">
        <f t="shared" si="36"/>
        <v>2807.12</v>
      </c>
      <c r="J64" s="5"/>
      <c r="K64" s="5">
        <f>AVERAGE(K66,K67,K69,K70,K71)</f>
        <v>24952.3666666667</v>
      </c>
      <c r="L64" s="5">
        <f>AVERAGE(L66,L67,L69,L70,L71)</f>
        <v>11989.5666666667</v>
      </c>
      <c r="M64" s="5">
        <f>AVERAGE(M66,M67,M69,M70,M71)</f>
        <v>700515.283333333</v>
      </c>
      <c r="N64" s="5">
        <f>AVERAGE(N66,N67,N69,N70,N71)</f>
        <v>12962.8</v>
      </c>
    </row>
    <row r="65" ht="21" spans="1:14">
      <c r="A65" s="6" t="s">
        <v>125</v>
      </c>
      <c r="B65" s="6" t="s">
        <v>126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5">
      <c r="A66" s="6" t="s">
        <v>127</v>
      </c>
      <c r="B66" s="6">
        <f>1709+483</f>
        <v>2192</v>
      </c>
      <c r="C66" s="6">
        <f t="shared" si="31"/>
        <v>1260</v>
      </c>
      <c r="D66" s="6">
        <f t="shared" si="32"/>
        <v>2520</v>
      </c>
      <c r="E66" s="6">
        <v>3285</v>
      </c>
      <c r="F66" s="6">
        <v>586</v>
      </c>
      <c r="G66" s="6">
        <v>1709</v>
      </c>
      <c r="H66" s="6">
        <v>126</v>
      </c>
      <c r="I66" s="8">
        <v>2000</v>
      </c>
      <c r="J66" s="6"/>
      <c r="K66" s="11">
        <f t="shared" si="33"/>
        <v>11552</v>
      </c>
      <c r="L66" s="6">
        <f t="shared" si="34"/>
        <v>5452</v>
      </c>
      <c r="M66" s="6">
        <f>Постоянные!B2*H66+B66+C66+D66+E66+F66</f>
        <v>239793</v>
      </c>
      <c r="N66" s="3">
        <f t="shared" si="35"/>
        <v>6100</v>
      </c>
      <c r="O66" s="9" t="s">
        <v>128</v>
      </c>
    </row>
    <row r="67" spans="1:14">
      <c r="A67" s="6" t="s">
        <v>129</v>
      </c>
      <c r="B67" s="6">
        <v>2224.67</v>
      </c>
      <c r="C67" s="6"/>
      <c r="D67" s="6"/>
      <c r="E67" s="6"/>
      <c r="F67" s="6"/>
      <c r="G67" s="6">
        <v>638.25</v>
      </c>
      <c r="H67" s="6"/>
      <c r="I67" s="6"/>
      <c r="J67" s="6"/>
      <c r="K67" s="6"/>
      <c r="L67" s="6"/>
      <c r="M67" s="6"/>
      <c r="N67" s="6"/>
    </row>
    <row r="68" spans="1:14">
      <c r="A68" s="6" t="s">
        <v>130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ht="21" spans="1:15">
      <c r="A69" s="6" t="s">
        <v>131</v>
      </c>
      <c r="B69" s="6">
        <v>6467.47</v>
      </c>
      <c r="C69" s="6">
        <f>10*H69</f>
        <v>1890.5</v>
      </c>
      <c r="D69" s="6">
        <f>20*H69</f>
        <v>3781</v>
      </c>
      <c r="E69" s="6"/>
      <c r="F69" s="6"/>
      <c r="G69" s="6"/>
      <c r="H69" s="6">
        <v>189.05</v>
      </c>
      <c r="I69" s="6">
        <f>895.5+3382.98</f>
        <v>4278.48</v>
      </c>
      <c r="J69" s="6"/>
      <c r="K69" s="6"/>
      <c r="L69" s="6"/>
      <c r="M69" s="6"/>
      <c r="N69" s="6"/>
      <c r="O69" s="9" t="s">
        <v>132</v>
      </c>
    </row>
    <row r="70" ht="21" spans="1:14">
      <c r="A70" s="6" t="s">
        <v>133</v>
      </c>
      <c r="B70" s="6">
        <f>5516.67+793.33</f>
        <v>6310</v>
      </c>
      <c r="C70" s="6">
        <f>10*H70</f>
        <v>6666.7</v>
      </c>
      <c r="D70" s="6">
        <f>20*H70</f>
        <v>13333.4</v>
      </c>
      <c r="E70" s="6">
        <v>8266.67</v>
      </c>
      <c r="F70" s="6">
        <v>868.33</v>
      </c>
      <c r="G70" s="6">
        <v>2050</v>
      </c>
      <c r="H70" s="6">
        <v>666.67</v>
      </c>
      <c r="I70" s="6">
        <f>2333.33+2116.67</f>
        <v>4450</v>
      </c>
      <c r="J70" s="6"/>
      <c r="K70" s="11">
        <f>B70+C70+D70+E70+F70+G70</f>
        <v>37495.1</v>
      </c>
      <c r="L70" s="6">
        <f>B70+C70+I70</f>
        <v>17426.7</v>
      </c>
      <c r="M70" s="6">
        <f>Постоянные!B2*H70+B70+C70+D70+E70+F70</f>
        <v>1252117.85</v>
      </c>
      <c r="N70" s="3">
        <f>K70-L70</f>
        <v>20068.4</v>
      </c>
    </row>
    <row r="71" spans="1:15">
      <c r="A71" s="6" t="s">
        <v>134</v>
      </c>
      <c r="B71" s="6">
        <f>6200+1230+1950</f>
        <v>9380</v>
      </c>
      <c r="C71" s="6">
        <f>10*H71</f>
        <v>3210</v>
      </c>
      <c r="D71" s="6">
        <f>20*H71</f>
        <v>6420</v>
      </c>
      <c r="E71" s="6">
        <v>4300</v>
      </c>
      <c r="F71" s="6">
        <v>500</v>
      </c>
      <c r="G71" s="6">
        <v>2000</v>
      </c>
      <c r="H71" s="6">
        <v>321</v>
      </c>
      <c r="I71" s="6">
        <f>200+300</f>
        <v>500</v>
      </c>
      <c r="J71" s="6"/>
      <c r="K71" s="11">
        <f>B71+C71+D71+E71+F71+G71</f>
        <v>25810</v>
      </c>
      <c r="L71" s="6">
        <f>B71+C71+I71</f>
        <v>13090</v>
      </c>
      <c r="M71" s="6">
        <f>Постоянные!B2*H71+B71+C71+D71+E71+F71</f>
        <v>609635</v>
      </c>
      <c r="N71" s="3">
        <f>K71-L71</f>
        <v>12720</v>
      </c>
      <c r="O71" s="10" t="s">
        <v>135</v>
      </c>
    </row>
    <row r="72" s="2" customFormat="1" spans="1:14">
      <c r="A72" s="5" t="s">
        <v>136</v>
      </c>
      <c r="B72" s="5">
        <f>AVERAGE(B73:B85)</f>
        <v>3681.68769230769</v>
      </c>
      <c r="C72" s="5">
        <f t="shared" ref="C72:I72" si="37">AVERAGE(C73:C85)</f>
        <v>1939.67692307692</v>
      </c>
      <c r="D72" s="5">
        <f t="shared" si="37"/>
        <v>3879.35384615385</v>
      </c>
      <c r="E72" s="5">
        <f t="shared" si="37"/>
        <v>3575.70307692308</v>
      </c>
      <c r="F72" s="5">
        <f t="shared" si="37"/>
        <v>409.513076923077</v>
      </c>
      <c r="G72" s="5">
        <f t="shared" si="37"/>
        <v>927.123846153846</v>
      </c>
      <c r="H72" s="5">
        <f t="shared" si="37"/>
        <v>193.967692307692</v>
      </c>
      <c r="I72" s="5">
        <f t="shared" si="37"/>
        <v>2613.46923076923</v>
      </c>
      <c r="J72" s="5"/>
      <c r="K72" s="5">
        <f>AVERAGE(K73:K85)</f>
        <v>14413.0584615385</v>
      </c>
      <c r="L72" s="5">
        <f>AVERAGE(L73:L85)</f>
        <v>8234.83384615385</v>
      </c>
      <c r="M72" s="5">
        <f>AVERAGE(M73:M85)</f>
        <v>367476.973076923</v>
      </c>
      <c r="N72" s="5">
        <f>AVERAGE(N73:N85)</f>
        <v>6178.22461538462</v>
      </c>
    </row>
    <row r="73" spans="1:15">
      <c r="A73" s="6" t="s">
        <v>137</v>
      </c>
      <c r="B73" s="6">
        <f>54+105+369+666</f>
        <v>1194</v>
      </c>
      <c r="C73" s="6">
        <f t="shared" ref="C73:C76" si="38">10*H73</f>
        <v>2800</v>
      </c>
      <c r="D73" s="6">
        <f t="shared" ref="D73:D76" si="39">20*H73</f>
        <v>5600</v>
      </c>
      <c r="E73" s="6">
        <v>1841</v>
      </c>
      <c r="F73" s="6">
        <v>51</v>
      </c>
      <c r="G73" s="6">
        <v>369</v>
      </c>
      <c r="H73" s="6">
        <v>280</v>
      </c>
      <c r="I73" s="6">
        <f>875+574</f>
        <v>1449</v>
      </c>
      <c r="J73" s="6"/>
      <c r="K73" s="11">
        <f>B73+C73+D73+E73+F73+G73</f>
        <v>11855</v>
      </c>
      <c r="L73" s="6">
        <f>B73+C73+I73</f>
        <v>5443</v>
      </c>
      <c r="M73" s="6">
        <f>Постоянные!B2*H73+B73+C73+D73+E73+F73</f>
        <v>522486</v>
      </c>
      <c r="N73" s="3">
        <f>K73-L73</f>
        <v>6412</v>
      </c>
      <c r="O73" s="10" t="s">
        <v>138</v>
      </c>
    </row>
    <row r="74" spans="1:15">
      <c r="A74" s="6" t="s">
        <v>139</v>
      </c>
      <c r="B74" s="6">
        <f>2647.57+342.35</f>
        <v>2989.92</v>
      </c>
      <c r="C74" s="6">
        <f t="shared" si="38"/>
        <v>940.3</v>
      </c>
      <c r="D74" s="6">
        <f t="shared" si="39"/>
        <v>1880.6</v>
      </c>
      <c r="E74" s="6">
        <v>2720.56</v>
      </c>
      <c r="F74" s="6">
        <v>0</v>
      </c>
      <c r="G74" s="6">
        <v>45.6</v>
      </c>
      <c r="H74" s="6">
        <v>94.03</v>
      </c>
      <c r="I74" s="6">
        <f>582.47+622.54</f>
        <v>1205.01</v>
      </c>
      <c r="J74" s="6"/>
      <c r="K74" s="11">
        <f>B74+C74+D74+E74+F74+G74</f>
        <v>8576.98</v>
      </c>
      <c r="L74" s="6">
        <f>B74+C74+I74</f>
        <v>5135.23</v>
      </c>
      <c r="M74" s="6">
        <f>Постоянные!B2*H74+B74+C74+D74+E74+F74</f>
        <v>180136.13</v>
      </c>
      <c r="N74" s="3">
        <f>K74-L74</f>
        <v>3441.75</v>
      </c>
      <c r="O74" s="9" t="s">
        <v>140</v>
      </c>
    </row>
    <row r="75" spans="1:15">
      <c r="A75" s="6" t="s">
        <v>141</v>
      </c>
      <c r="B75" s="6">
        <f>1000+50+1200</f>
        <v>2250</v>
      </c>
      <c r="C75" s="6">
        <f t="shared" si="38"/>
        <v>2000</v>
      </c>
      <c r="D75" s="6">
        <f t="shared" si="39"/>
        <v>4000</v>
      </c>
      <c r="E75" s="6">
        <v>3500</v>
      </c>
      <c r="F75" s="6">
        <v>100</v>
      </c>
      <c r="G75" s="6">
        <v>620</v>
      </c>
      <c r="H75" s="6">
        <v>200</v>
      </c>
      <c r="I75" s="6">
        <f>(100+100)*Постоянные!B3</f>
        <v>4000</v>
      </c>
      <c r="J75" s="6"/>
      <c r="K75" s="11">
        <f t="shared" ref="K75:K80" si="40">B75+C75+D75+E75+F75+G75</f>
        <v>12470</v>
      </c>
      <c r="L75" s="6">
        <f t="shared" ref="L75:L80" si="41">B75+C75+I75</f>
        <v>8250</v>
      </c>
      <c r="M75" s="6">
        <f>Постоянные!B2*H75+B75+C75+D75+E75+F75</f>
        <v>376850</v>
      </c>
      <c r="N75" s="3">
        <f t="shared" ref="N75:N80" si="42">K75-L75</f>
        <v>4220</v>
      </c>
      <c r="O75" s="9" t="s">
        <v>142</v>
      </c>
    </row>
    <row r="76" spans="1:15">
      <c r="A76" s="6" t="s">
        <v>143</v>
      </c>
      <c r="B76" s="6">
        <f>145.2+756.85+375.1+20.57+1100</f>
        <v>2397.72</v>
      </c>
      <c r="C76" s="6">
        <f t="shared" si="38"/>
        <v>1827.1</v>
      </c>
      <c r="D76" s="6">
        <f t="shared" si="39"/>
        <v>3654.2</v>
      </c>
      <c r="E76" s="6">
        <v>4008.73</v>
      </c>
      <c r="F76" s="6">
        <v>100</v>
      </c>
      <c r="G76" s="6">
        <v>756.85</v>
      </c>
      <c r="H76" s="6">
        <v>182.71</v>
      </c>
      <c r="I76" s="6">
        <f>598.95+1298.25</f>
        <v>1897.2</v>
      </c>
      <c r="J76" s="6"/>
      <c r="K76" s="11">
        <f t="shared" si="40"/>
        <v>12744.6</v>
      </c>
      <c r="L76" s="6">
        <f t="shared" si="41"/>
        <v>6122.02</v>
      </c>
      <c r="M76" s="6">
        <f>Постоянные!B2*H76+B76+C76+D76+E76+F76</f>
        <v>345433.5</v>
      </c>
      <c r="N76" s="3">
        <f t="shared" si="42"/>
        <v>6622.58</v>
      </c>
      <c r="O76" s="9" t="s">
        <v>144</v>
      </c>
    </row>
    <row r="77" spans="1:15">
      <c r="A77" s="6" t="s">
        <v>145</v>
      </c>
      <c r="B77" s="6">
        <f>782+103+358+171</f>
        <v>1414</v>
      </c>
      <c r="C77" s="6">
        <f>10*H77</f>
        <v>1230</v>
      </c>
      <c r="D77" s="6">
        <f>20*H77</f>
        <v>2460</v>
      </c>
      <c r="E77" s="6">
        <v>1232</v>
      </c>
      <c r="F77" s="12">
        <v>267</v>
      </c>
      <c r="G77" s="6">
        <v>0</v>
      </c>
      <c r="H77" s="6">
        <v>123</v>
      </c>
      <c r="I77" s="12">
        <f>1000.35+598</f>
        <v>1598.35</v>
      </c>
      <c r="J77" s="6"/>
      <c r="K77" s="11">
        <f t="shared" si="40"/>
        <v>6603</v>
      </c>
      <c r="L77" s="6">
        <f t="shared" si="41"/>
        <v>4242.35</v>
      </c>
      <c r="M77" s="6">
        <f>Постоянные!B2*H77+B77+C77+D77+E77+F77</f>
        <v>231078</v>
      </c>
      <c r="N77" s="3">
        <f t="shared" si="42"/>
        <v>2360.65</v>
      </c>
      <c r="O77" s="9" t="s">
        <v>146</v>
      </c>
    </row>
    <row r="78" spans="1:15">
      <c r="A78" s="6" t="s">
        <v>147</v>
      </c>
      <c r="B78" s="6">
        <f>400.42+417.47+1686.89</f>
        <v>2504.78</v>
      </c>
      <c r="C78" s="6">
        <f>10*H78</f>
        <v>996.8</v>
      </c>
      <c r="D78" s="6">
        <f>20*H78</f>
        <v>1993.6</v>
      </c>
      <c r="E78" s="6">
        <v>3271.54</v>
      </c>
      <c r="F78" s="6">
        <v>434.5</v>
      </c>
      <c r="G78" s="6">
        <v>1354.62</v>
      </c>
      <c r="H78" s="6">
        <v>99.68</v>
      </c>
      <c r="I78" s="6">
        <f>349.3+144.83*Постоянные!B3</f>
        <v>3245.9</v>
      </c>
      <c r="J78" s="6"/>
      <c r="K78" s="11">
        <f t="shared" si="40"/>
        <v>10555.84</v>
      </c>
      <c r="L78" s="6">
        <f t="shared" si="41"/>
        <v>6747.48</v>
      </c>
      <c r="M78" s="6">
        <f>Постоянные!B2*H78+B78+C78+D78+E78+F78</f>
        <v>191117.22</v>
      </c>
      <c r="N78" s="3">
        <f t="shared" si="42"/>
        <v>3808.36</v>
      </c>
      <c r="O78" s="9" t="s">
        <v>148</v>
      </c>
    </row>
    <row r="79" spans="1:15">
      <c r="A79" s="6" t="s">
        <v>149</v>
      </c>
      <c r="B79" s="6">
        <f>7733.33+656.67+900</f>
        <v>9290</v>
      </c>
      <c r="C79" s="6">
        <f>10*H79</f>
        <v>2633.3</v>
      </c>
      <c r="D79" s="6">
        <f>20*H79</f>
        <v>5266.6</v>
      </c>
      <c r="E79" s="6">
        <v>8216.67</v>
      </c>
      <c r="F79" s="6">
        <v>900</v>
      </c>
      <c r="G79" s="6">
        <v>3566.67</v>
      </c>
      <c r="H79" s="6">
        <v>263.33</v>
      </c>
      <c r="I79" s="6">
        <f>2233.33+2000</f>
        <v>4233.33</v>
      </c>
      <c r="J79" s="6"/>
      <c r="K79" s="11">
        <f t="shared" si="40"/>
        <v>29873.24</v>
      </c>
      <c r="L79" s="6">
        <f t="shared" si="41"/>
        <v>16156.63</v>
      </c>
      <c r="M79" s="6">
        <f>Постоянные!B2*H79+B79+C79+D79+E79+F79</f>
        <v>506883.82</v>
      </c>
      <c r="N79" s="3">
        <f t="shared" si="42"/>
        <v>13716.61</v>
      </c>
      <c r="O79" s="9" t="s">
        <v>150</v>
      </c>
    </row>
    <row r="80" spans="1:15">
      <c r="A80" s="6" t="s">
        <v>151</v>
      </c>
      <c r="B80" s="6">
        <f>3832.95+244.95+844.09+244.95+627.9+558.9</f>
        <v>6353.74</v>
      </c>
      <c r="C80" s="6">
        <f>10*H80</f>
        <v>1759.5</v>
      </c>
      <c r="D80" s="6">
        <f>20*H80</f>
        <v>3519</v>
      </c>
      <c r="E80" s="6">
        <v>3832.95</v>
      </c>
      <c r="F80" s="6">
        <v>243.84</v>
      </c>
      <c r="G80" s="6">
        <v>627.9</v>
      </c>
      <c r="H80" s="6">
        <v>175.95</v>
      </c>
      <c r="I80" s="6">
        <f>1609.99+1609.99</f>
        <v>3219.98</v>
      </c>
      <c r="J80" s="6"/>
      <c r="K80" s="11">
        <f t="shared" si="40"/>
        <v>16336.93</v>
      </c>
      <c r="L80" s="6">
        <f t="shared" si="41"/>
        <v>11333.22</v>
      </c>
      <c r="M80" s="6">
        <f>Постоянные!B2*H80+B80+C80+D80+E80+F80</f>
        <v>336817.78</v>
      </c>
      <c r="N80" s="3">
        <f t="shared" si="42"/>
        <v>5003.71</v>
      </c>
      <c r="O80" s="9" t="s">
        <v>152</v>
      </c>
    </row>
    <row r="81" spans="1:15">
      <c r="A81" s="6" t="s">
        <v>153</v>
      </c>
      <c r="B81" s="6">
        <f>1828.12+1486.6+924.1+74.33</f>
        <v>4313.15</v>
      </c>
      <c r="C81" s="6">
        <f>10*H81</f>
        <v>1406.2</v>
      </c>
      <c r="D81" s="6">
        <f>20*H81</f>
        <v>2812.4</v>
      </c>
      <c r="E81" s="6">
        <v>2782.36</v>
      </c>
      <c r="F81" s="6">
        <v>198.88</v>
      </c>
      <c r="G81" s="6">
        <v>1486.6</v>
      </c>
      <c r="H81" s="6">
        <v>140.62</v>
      </c>
      <c r="I81" s="6">
        <f>863.83+964.28</f>
        <v>1828.11</v>
      </c>
      <c r="J81" s="6"/>
      <c r="K81" s="11">
        <f t="shared" ref="K81:K85" si="43">B81+C81+D81+E81+F81+G81</f>
        <v>12999.59</v>
      </c>
      <c r="L81" s="6">
        <f t="shared" ref="L81:L85" si="44">B81+C81+I81</f>
        <v>7547.46</v>
      </c>
      <c r="M81" s="6">
        <f>Постоянные!B2*H81+B81+C81+D81+E81+F81</f>
        <v>268144.49</v>
      </c>
      <c r="N81" s="3">
        <f t="shared" ref="N81:N85" si="45">K81-L81</f>
        <v>5452.13</v>
      </c>
      <c r="O81" s="9" t="s">
        <v>154</v>
      </c>
    </row>
    <row r="82" spans="1:15">
      <c r="A82" s="6" t="s">
        <v>155</v>
      </c>
      <c r="B82" s="6">
        <v>5000</v>
      </c>
      <c r="C82" s="6">
        <f>10*H82</f>
        <v>5714.2</v>
      </c>
      <c r="D82" s="6">
        <f>20*H82</f>
        <v>11428.4</v>
      </c>
      <c r="E82" s="6">
        <v>5000</v>
      </c>
      <c r="F82" s="6">
        <v>2812.5</v>
      </c>
      <c r="G82" s="6">
        <v>0</v>
      </c>
      <c r="H82" s="6">
        <v>571.42</v>
      </c>
      <c r="I82" s="6">
        <f>200*Постоянные!B3</f>
        <v>4000</v>
      </c>
      <c r="J82" s="6"/>
      <c r="K82" s="11">
        <f t="shared" si="43"/>
        <v>29955.1</v>
      </c>
      <c r="L82" s="6">
        <f t="shared" si="44"/>
        <v>14714.2</v>
      </c>
      <c r="M82" s="6">
        <f>Постоянные!B2*H82+B82+C82+D82+E82+F82</f>
        <v>1072796.6</v>
      </c>
      <c r="N82" s="3">
        <f t="shared" si="45"/>
        <v>15240.9</v>
      </c>
      <c r="O82" s="9" t="s">
        <v>156</v>
      </c>
    </row>
    <row r="83" spans="1:15">
      <c r="A83" s="6" t="s">
        <v>157</v>
      </c>
      <c r="B83" s="6">
        <v>2045.56</v>
      </c>
      <c r="C83" s="6">
        <f>10*H83</f>
        <v>715.5</v>
      </c>
      <c r="D83" s="6">
        <f>20*H83</f>
        <v>1431</v>
      </c>
      <c r="E83" s="6">
        <v>2806.88</v>
      </c>
      <c r="F83" s="6">
        <v>0</v>
      </c>
      <c r="G83" s="6">
        <v>460.71</v>
      </c>
      <c r="H83" s="6">
        <v>71.55</v>
      </c>
      <c r="I83" s="6">
        <f>1463.1+179.63</f>
        <v>1642.73</v>
      </c>
      <c r="J83" s="6"/>
      <c r="K83" s="11">
        <f t="shared" si="43"/>
        <v>7459.65</v>
      </c>
      <c r="L83" s="6">
        <f t="shared" si="44"/>
        <v>4403.79</v>
      </c>
      <c r="M83" s="6">
        <f>Постоянные!B2*H83+B83+C83+D83+E83+F83</f>
        <v>137577.69</v>
      </c>
      <c r="N83" s="3">
        <f t="shared" si="45"/>
        <v>3055.86</v>
      </c>
      <c r="O83" s="9" t="s">
        <v>158</v>
      </c>
    </row>
    <row r="84" spans="1:15">
      <c r="A84" s="6" t="s">
        <v>159</v>
      </c>
      <c r="B84" s="6">
        <f>158.65+205.71+2586.54</f>
        <v>2950.9</v>
      </c>
      <c r="C84" s="6">
        <f>10*H84</f>
        <v>1721.4</v>
      </c>
      <c r="D84" s="6">
        <f>20*H84</f>
        <v>3442.8</v>
      </c>
      <c r="E84" s="6">
        <v>2488.29</v>
      </c>
      <c r="F84" s="6">
        <v>31.99</v>
      </c>
      <c r="G84" s="6">
        <v>2502</v>
      </c>
      <c r="H84" s="6">
        <v>172.14</v>
      </c>
      <c r="I84" s="6">
        <f>975+662.89</f>
        <v>1637.89</v>
      </c>
      <c r="J84" s="6"/>
      <c r="K84" s="11">
        <f t="shared" si="43"/>
        <v>13137.38</v>
      </c>
      <c r="L84" s="6">
        <f t="shared" si="44"/>
        <v>6310.19</v>
      </c>
      <c r="M84" s="6">
        <f>Постоянные!B2*H84+B84+C84+D84+E84+F84</f>
        <v>324790.88</v>
      </c>
      <c r="N84" s="3">
        <f t="shared" si="45"/>
        <v>6827.19</v>
      </c>
      <c r="O84" s="9" t="s">
        <v>160</v>
      </c>
    </row>
    <row r="85" spans="1:15">
      <c r="A85" s="6" t="s">
        <v>161</v>
      </c>
      <c r="B85" s="6">
        <f>368.5+4789.67</f>
        <v>5158.17</v>
      </c>
      <c r="C85" s="6">
        <f>10*H85</f>
        <v>1471.5</v>
      </c>
      <c r="D85" s="6">
        <f>20*H85</f>
        <v>2943</v>
      </c>
      <c r="E85" s="6">
        <v>4783.16</v>
      </c>
      <c r="F85" s="6">
        <v>183.96</v>
      </c>
      <c r="G85" s="6">
        <v>262.66</v>
      </c>
      <c r="H85" s="6">
        <v>147.15</v>
      </c>
      <c r="I85" s="6">
        <f>2000+2017.6</f>
        <v>4017.6</v>
      </c>
      <c r="J85" s="6"/>
      <c r="K85" s="11">
        <f t="shared" si="43"/>
        <v>14802.45</v>
      </c>
      <c r="L85" s="6">
        <f t="shared" si="44"/>
        <v>10647.27</v>
      </c>
      <c r="M85" s="6">
        <f>Постоянные!B2*H85+B85+C85+D85+E85+F85</f>
        <v>283088.54</v>
      </c>
      <c r="N85" s="3">
        <f t="shared" si="45"/>
        <v>4155.18</v>
      </c>
      <c r="O85" s="9" t="s">
        <v>162</v>
      </c>
    </row>
    <row r="86" s="2" customFormat="1" ht="19.5" spans="1:14">
      <c r="A86" s="5" t="s">
        <v>163</v>
      </c>
      <c r="B86" s="5">
        <f>AVERAGE(B87,B88,B89,B90,B92,B93)</f>
        <v>5895.105</v>
      </c>
      <c r="C86" s="5">
        <f t="shared" ref="C86:I86" si="46">AVERAGE(C87,C88,C89,C90,C92,C93)</f>
        <v>3257.9</v>
      </c>
      <c r="D86" s="5">
        <f t="shared" si="46"/>
        <v>6515.8</v>
      </c>
      <c r="E86" s="5">
        <f t="shared" si="46"/>
        <v>4892.14833333333</v>
      </c>
      <c r="F86" s="5">
        <f t="shared" si="46"/>
        <v>263.785</v>
      </c>
      <c r="G86" s="5">
        <f t="shared" si="46"/>
        <v>3215.11333333333</v>
      </c>
      <c r="H86" s="5">
        <f t="shared" si="46"/>
        <v>325.79</v>
      </c>
      <c r="I86" s="5">
        <f t="shared" si="46"/>
        <v>4025.28666666667</v>
      </c>
      <c r="J86" s="5"/>
      <c r="K86" s="5">
        <f>AVERAGE(K87,K88,K89,K90,K92,K93)</f>
        <v>24039.8516666667</v>
      </c>
      <c r="L86" s="5">
        <f>AVERAGE(L87,L88,L89,L90,L92,L93)</f>
        <v>13178.2916666667</v>
      </c>
      <c r="M86" s="5">
        <f>AVERAGE(M87,M88,M89,M90,M92,M93)</f>
        <v>615391.488333333</v>
      </c>
      <c r="N86" s="5">
        <f>AVERAGE(N87,N88,N89,N90,N92,N93)</f>
        <v>10861.56</v>
      </c>
    </row>
    <row r="87" spans="1:15">
      <c r="A87" s="6" t="s">
        <v>164</v>
      </c>
      <c r="B87" s="6">
        <f>340+546.3+340.4</f>
        <v>1226.7</v>
      </c>
      <c r="C87" s="3">
        <f t="shared" ref="C87:C92" si="47">10*H87</f>
        <v>2141.4</v>
      </c>
      <c r="D87" s="6">
        <f t="shared" ref="D87:D92" si="48">20*H87</f>
        <v>4282.8</v>
      </c>
      <c r="E87" s="6">
        <v>2238.46</v>
      </c>
      <c r="F87" s="6">
        <v>131.9</v>
      </c>
      <c r="G87" s="6">
        <v>546</v>
      </c>
      <c r="H87" s="6">
        <v>214.14</v>
      </c>
      <c r="I87" s="6">
        <v>517.46</v>
      </c>
      <c r="J87" s="6"/>
      <c r="K87" s="11">
        <f t="shared" ref="K87:K90" si="49">B87+C87+D87+E87+F87+G87</f>
        <v>10567.26</v>
      </c>
      <c r="L87" s="6">
        <f t="shared" ref="L87:L90" si="50">B87+C87+I87</f>
        <v>3885.56</v>
      </c>
      <c r="M87" s="6">
        <f>Постоянные!B2*H87+B87+C87+D87+E87+F87</f>
        <v>400826.76</v>
      </c>
      <c r="N87" s="3">
        <f t="shared" ref="N87:N90" si="51">K87-L87</f>
        <v>6681.7</v>
      </c>
      <c r="O87" s="9" t="s">
        <v>165</v>
      </c>
    </row>
    <row r="88" spans="1:15">
      <c r="A88" s="6" t="s">
        <v>166</v>
      </c>
      <c r="B88" s="6">
        <f>167+2200+2500</f>
        <v>4867</v>
      </c>
      <c r="C88" s="3">
        <f t="shared" si="47"/>
        <v>3000</v>
      </c>
      <c r="D88" s="6">
        <f t="shared" si="48"/>
        <v>6000</v>
      </c>
      <c r="E88" s="6">
        <v>4524.47</v>
      </c>
      <c r="F88" s="6">
        <v>0</v>
      </c>
      <c r="G88" s="6">
        <v>2200</v>
      </c>
      <c r="H88" s="6">
        <v>300</v>
      </c>
      <c r="I88" s="6">
        <f>3880</f>
        <v>3880</v>
      </c>
      <c r="J88" s="6"/>
      <c r="K88" s="11">
        <f t="shared" si="49"/>
        <v>20591.47</v>
      </c>
      <c r="L88" s="6">
        <f t="shared" si="50"/>
        <v>11747</v>
      </c>
      <c r="M88" s="6">
        <f>Постоянные!B2*H88+B88+C88+D88+E88+F88</f>
        <v>565891.47</v>
      </c>
      <c r="N88" s="3">
        <f t="shared" si="51"/>
        <v>8844.47</v>
      </c>
      <c r="O88" s="9" t="s">
        <v>167</v>
      </c>
    </row>
    <row r="89" spans="1:15">
      <c r="A89" s="6" t="s">
        <v>168</v>
      </c>
      <c r="B89" s="6">
        <f>2773+519+1365</f>
        <v>4657</v>
      </c>
      <c r="C89" s="3">
        <f t="shared" si="47"/>
        <v>2280</v>
      </c>
      <c r="D89" s="6">
        <f t="shared" si="48"/>
        <v>4560</v>
      </c>
      <c r="E89" s="6">
        <v>4320</v>
      </c>
      <c r="F89" s="6">
        <v>84</v>
      </c>
      <c r="G89" s="6">
        <v>519</v>
      </c>
      <c r="H89" s="6">
        <v>228</v>
      </c>
      <c r="I89" s="6">
        <f>2214+642</f>
        <v>2856</v>
      </c>
      <c r="J89" s="6"/>
      <c r="K89" s="11">
        <f t="shared" si="49"/>
        <v>16420</v>
      </c>
      <c r="L89" s="6">
        <f t="shared" si="50"/>
        <v>9793</v>
      </c>
      <c r="M89" s="6">
        <f>Постоянные!B2*H89+B89+C89+D89+E89+F89</f>
        <v>432001</v>
      </c>
      <c r="N89" s="3">
        <f t="shared" si="51"/>
        <v>6627</v>
      </c>
      <c r="O89" s="9" t="s">
        <v>169</v>
      </c>
    </row>
    <row r="90" spans="1:15">
      <c r="A90" s="6" t="s">
        <v>170</v>
      </c>
      <c r="B90" s="12">
        <f>584.39+268.15+402.42+4427.54</f>
        <v>5682.5</v>
      </c>
      <c r="C90" s="3">
        <f t="shared" si="47"/>
        <v>6040</v>
      </c>
      <c r="D90" s="6">
        <f t="shared" si="48"/>
        <v>12080</v>
      </c>
      <c r="E90" s="6">
        <v>4510.66</v>
      </c>
      <c r="F90" s="6">
        <v>517.11</v>
      </c>
      <c r="G90" s="12">
        <v>1925.68</v>
      </c>
      <c r="H90" s="6">
        <v>604</v>
      </c>
      <c r="I90" s="6">
        <f>713.09+705.46</f>
        <v>1418.55</v>
      </c>
      <c r="J90" s="6"/>
      <c r="K90" s="11">
        <f t="shared" si="49"/>
        <v>30755.95</v>
      </c>
      <c r="L90" s="6">
        <f t="shared" si="50"/>
        <v>13141.05</v>
      </c>
      <c r="M90" s="6">
        <f>Постоянные!B2*H90+B90+C90+D90+E90+F90</f>
        <v>1131130.27</v>
      </c>
      <c r="N90" s="3">
        <f t="shared" si="51"/>
        <v>17614.9</v>
      </c>
      <c r="O90" s="9" t="s">
        <v>171</v>
      </c>
    </row>
    <row r="91" spans="1:14">
      <c r="A91" s="6" t="s">
        <v>172</v>
      </c>
      <c r="B91" s="6" t="s">
        <v>173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5">
      <c r="A92" s="6" t="s">
        <v>174</v>
      </c>
      <c r="B92" s="6">
        <f>279.35+1452.44</f>
        <v>1731.79</v>
      </c>
      <c r="C92" s="3">
        <f t="shared" si="47"/>
        <v>4686</v>
      </c>
      <c r="D92" s="6">
        <f t="shared" si="48"/>
        <v>9372</v>
      </c>
      <c r="E92" s="6">
        <v>8026.34</v>
      </c>
      <c r="F92" s="6">
        <v>366.37</v>
      </c>
      <c r="G92" s="6">
        <v>0</v>
      </c>
      <c r="H92" s="6">
        <v>468.6</v>
      </c>
      <c r="I92" s="6">
        <f>10585.88</f>
        <v>10585.88</v>
      </c>
      <c r="J92" s="6"/>
      <c r="K92" s="11">
        <f>B92+C92+D92+E92+F92+G92</f>
        <v>24182.5</v>
      </c>
      <c r="L92" s="6">
        <f>B92+C92+I92</f>
        <v>17003.67</v>
      </c>
      <c r="M92" s="6">
        <f>Постоянные!B2*H92+B92+C92+D92+E92+F92</f>
        <v>879377.5</v>
      </c>
      <c r="N92" s="3">
        <f>K92-L92</f>
        <v>7178.83</v>
      </c>
      <c r="O92" s="9" t="s">
        <v>175</v>
      </c>
    </row>
    <row r="93" spans="1:15">
      <c r="A93" s="6" t="s">
        <v>176</v>
      </c>
      <c r="B93" s="6">
        <f>3105.64+1500*9.4</f>
        <v>17205.64</v>
      </c>
      <c r="C93" s="3">
        <f>10*H93</f>
        <v>1400</v>
      </c>
      <c r="D93" s="6">
        <f>20*H93</f>
        <v>2800</v>
      </c>
      <c r="E93" s="6">
        <v>5732.96</v>
      </c>
      <c r="F93" s="6">
        <v>483.33</v>
      </c>
      <c r="G93" s="6">
        <f>9.4*1500</f>
        <v>14100</v>
      </c>
      <c r="H93" s="6">
        <v>140</v>
      </c>
      <c r="I93" s="6">
        <f>890.43+200.17*Постоянные!B3</f>
        <v>4893.83</v>
      </c>
      <c r="J93" s="6"/>
      <c r="K93" s="11">
        <f>B93+C93+D93+E93+F93+G93</f>
        <v>41721.93</v>
      </c>
      <c r="L93" s="6">
        <f>B93+C93+I93</f>
        <v>23499.47</v>
      </c>
      <c r="M93" s="6">
        <f>Постоянные!B2*H93+B93+C93+D93+E93+F93</f>
        <v>283121.93</v>
      </c>
      <c r="N93" s="3">
        <f>K93-L93</f>
        <v>18222.46</v>
      </c>
      <c r="O93" s="9" t="s">
        <v>177</v>
      </c>
    </row>
    <row r="94" spans="1:14">
      <c r="A94" s="6" t="s">
        <v>178</v>
      </c>
      <c r="B94" s="6" t="s">
        <v>173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6" t="s">
        <v>179</v>
      </c>
      <c r="B95" s="6" t="s">
        <v>173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</sheetData>
  <hyperlinks>
    <hyperlink ref="O4" r:id="rId1" display="https://zakupki.gov.ru/epz/contract/contractCard/document-info.html?reestrNumber=3310600571023000040&amp;contractInfoId=86955994"/>
    <hyperlink ref="O5" r:id="rId2" display="https://zakupki.gov.ru/epz/contract/contractCard/payment-info-and-target-of-order.html?reestrNumber=3320900070624000005#contractSubjects"/>
    <hyperlink ref="O6" r:id="rId3" display="https://zakupki.gov.ru/epz/contract/contractCard/payment-info-and-target-of-order.html?reestrNumber=2332810332324000006#contractSubjects"/>
    <hyperlink ref="O7" r:id="rId4" display="https://zakupki.gov.ru/epz/contract/contractCard/payment-info-and-target-of-order.html?reestrNumber=3360100202224000009#contractSubjects"/>
    <hyperlink ref="O9" r:id="rId5" display="https://zakupki.gov.ru/epz/contract/contractCard/common-info.html?reestrNumber=3402100301724000003&amp;contractInfoId=89291066    https://zakupki.gov.ru/epz/contract/contractCard/payment-info-and-target-of-order.html?reestrNumber=3400400280023000033#contractSubjects" tooltip="https://zakupki.gov.ru/epz/contract/contractCard/common-info.html?reestrNumber=3402100301724000003&amp;contractInfoId=89291066    https://zakupki.gov.ru/epz/contract/contractCard/payment-info-and-target-of-order.html?reestrNumber=3400400280023000033#contractS"/>
    <hyperlink ref="O8" r:id="rId6" display="https://zakupki.gov.ru/epz/contract/contractCard/payment-info-and-target-of-order.html?reestrNumber=3400400280023000033#contractSubjects"/>
    <hyperlink ref="O11" r:id="rId7" display="https://zakupki.gov.ru/epz/contract/contractCard/payment-info-and-target-of-order.html?reestrNumber=3460500550924000001#contractSubjects"/>
    <hyperlink ref="O12" r:id="rId8" display="https://zakupki.gov.ru/epz/contract/contractCard/payment-info-and-target-of-order.html?reestrNumber=3481500069824000003#contractSubjects"/>
    <hyperlink ref="O13" r:id="rId9" display="https://zakupki.gov.ru/epz/contract/contractCard/payment-info-and-target-of-order.html?reestrNumber=3503815898023000362#contractSubjects"/>
    <hyperlink ref="O14" r:id="rId10" display="https://zakupki.gov.ru/epz/contract/contractCard/payment-info-and-target-of-order.html?reestrNumber=3570900180724000012#contractSubjects"/>
    <hyperlink ref="O15" r:id="rId11" display="https://zakupki.gov.ru/epz/contract/contractCard/payment-info-and-target-of-order.html?reestrNumber=3620520113224000012#contractSubjects"/>
    <hyperlink ref="O16" r:id="rId12" display="https://zakupki.gov.ru/epz/contract/contractCard/payment-info-and-target-of-order.html?reestrNumber=2673006238524000001#contractSubjects"/>
    <hyperlink ref="O17" r:id="rId13" display="https://zakupki.gov.ru/epz/contract/contractCard/document-info.html?reestrNumber=3680000700624000010&amp;contractInfoId=89636245"/>
    <hyperlink ref="O20" r:id="rId14" display="https://zakupki.gov.ru/epz/contract/contractCard/payment-info-and-target-of-order.html?reestrNumber=3760601190224000004#contractSubjects"/>
    <hyperlink ref="O19" r:id="rId15" display="https://zakupki.gov.ru/epz/contract/contractCard/payment-info-and-target-of-order.html?reestrNumber=3713400079924000002#contractSubjects"/>
    <hyperlink ref="O21" r:id="rId16" display="https://zakupki.gov.ru/epz/contract/contractCard/payment-info-and-target-of-order.html?reestrNumber=3500305735723000031#contractSubjects"/>
    <hyperlink ref="O23" r:id="rId17" display="https://zakupki.gov.ru/epz/contract/contractCard/payment-info-and-target-of-order.html?reestrNumber=3100000542724000013&amp;contractInfoId=90066300"/>
    <hyperlink ref="O71" r:id="rId18" display="https://zakupki.gov.ru/epz/contract/contractCard/payment-info-and-target-of-order.html?reestrNumber=3743600027324000028#contractSubjects"/>
    <hyperlink ref="O87" r:id="rId19" display="https://zakupki.gov.ru/epz/contract/contractCard/payment-info-and-target-of-order.html?reestrNumber=3143302050624000003#contractSubjects"/>
    <hyperlink ref="O24" r:id="rId20" display="https://zakupki.gov.ru/epz/contract/contractCard/payment-info-and-target-of-order.html?reestrNumber=3110204663024000014#contractSubjects"/>
    <hyperlink ref="O26" r:id="rId21" display="https://zakupki.gov.ru/epz/contract/contractCard/document-info.html?reestrNumber=3246901000624000006&amp;contractInfoId=90061521"/>
    <hyperlink ref="O27" r:id="rId22" display="https://zakupki.gov.ru/epz/contract/contractCard/payment-info-and-target-of-order.html?reestrNumber=3350000067824000022#contractSubjects"/>
    <hyperlink ref="O29" r:id="rId23" display="https://zakupki.gov.ru/epz/contract/contractCard/payment-info-and-target-of-order.html?reestrNumber=3470200922724000004#contractSubjects"/>
    <hyperlink ref="O30" r:id="rId24" display="https://zakupki.gov.ru/epz/contract/contractCard/payment-info-and-target-of-order.html?reestrNumber=3511100080923000038#contractSubjects"/>
    <hyperlink ref="O32" r:id="rId25" display="https://zakupki.gov.ru/epz/contract/contractCard/payment-info-and-target-of-order.html?reestrNumber=3600200115224000003#contractSubjects"/>
    <hyperlink ref="O33" r:id="rId26" display="https://zakupki.gov.ru/epz/contract/contractCard/payment-info-and-target-of-order.html?reestrNumber=2784042414222000034#contractSubjects"/>
    <hyperlink ref="O35" r:id="rId27" display="https://zakupki.gov.ru/epz/contract/contractCard/payment-info-and-target-of-order.html?reestrNumber=3010504885024000035#contractSubjects"/>
    <hyperlink ref="O38" r:id="rId28" display="https://zakupki.gov.ru/epz/contract/contractCard/payment-info-and-target-of-order.html?reestrNumber=3070300268224000020#contractSubjects"/>
    <hyperlink ref="O40" r:id="rId29" display="https://zakupki.gov.ru/epz/contract/contractCard/payment-info-and-target-of-order.html?reestrNumber=2091700050924000001#contractSubjects"/>
    <hyperlink ref="O42" r:id="rId30" display="https://zakupki.gov.ru/epz/contract/contractCard/payment-info-and-target-of-order.html?reestrNumber=2201401717422000002#page-2"/>
    <hyperlink ref="O44" r:id="rId31" display="https://zakupki.gov.ru/epz/contract/contractCard/payment-info-and-target-of-order.html?reestrNumber=3260702247124000014#contractSubjects"/>
    <hyperlink ref="O43" r:id="rId32" display="https://zakupki.gov.ru/epz/contract/contractCard/payment-info-and-target-of-order.html?reestrNumber=3231108310923000089#contractSubjects"/>
    <hyperlink ref="O45" r:id="rId33" display="https://zakupki.gov.ru/epz/contract/contractCard/payment-info-and-target-of-order.html?reestrNumber=3300600891824000001&amp;contractInfoId=91200036"/>
    <hyperlink ref="O46" r:id="rId34" display="https://zakupki.gov.ru/epz/contract/contractCard/payment-info-and-target-of-order.html?reestrNumber=3343900087724000023#contractSubjects"/>
    <hyperlink ref="O47" r:id="rId35" display="https://zakupki.gov.ru/epz/contract/contractCard/payment-info-and-target-of-order.html?reestrNumber=3615009402324000005#contractSubjects"/>
    <hyperlink ref="O49" r:id="rId36" display="https://zakupki.gov.ru/epz/contract/contractCard/payment-info-and-target-of-order.html?reestrNumber=3025601628924000008#page-1"/>
    <hyperlink ref="O50" r:id="rId37" display="https://zakupki.gov.ru/epz/contract/contractCard/payment-info-and-target-of-order.html?reestrNumber=3121300129724000007#contractSubjects"/>
    <hyperlink ref="O52" r:id="rId38" display="https://zakupki.gov.ru/epz/contract/contractCard/payment-info-and-target-of-order.html?reestrNumber=3163360539723000016#contractSubjects"/>
    <hyperlink ref="O51" r:id="rId39" display="https://zakupki.gov.ru/epz/contract/contractCard/payment-info-and-target-of-order.html?reestrNumber=3131910924424000011#contractSubjects"/>
    <hyperlink ref="O53" r:id="rId40" display="https://zakupki.gov.ru/epz/contract/contractCard/payment-info-and-target-of-order.html?reestrNumber=3184110162624000011#contractSubjects"/>
    <hyperlink ref="O54" r:id="rId41" display="https://zakupki.gov.ru/epz/contract/contractCard/payment-info-and-target-of-order.html?reestrNumber=3210000345724000009#contractSubjects"/>
    <hyperlink ref="O55" r:id="rId42" display="https://zakupki.gov.ru/epz/contract/contractCard/payment-info-and-target-of-order.html?reestrNumber=3463401224324000005#page-2"/>
    <hyperlink ref="O56" r:id="rId43" display="https://zakupki.gov.ru/epz/contract/contractCard/payment-info-and-target-of-order.html?reestrNumber=3521400177024000148#page-2"/>
    <hyperlink ref="O57" r:id="rId44" display="https://zakupki.gov.ru/epz/contract/contractCard/payment-info-and-target-of-order.html?reestrNumber=3560102182224000003#contractSubjects"/>
    <hyperlink ref="O58" r:id="rId45" display="https://zakupki.gov.ru/epz/contract/contractCard/payment-info-and-target-of-order.html?reestrNumber=3583601305824000005#contractSubjects"/>
    <hyperlink ref="O59" r:id="rId46" display="https://zakupki.gov.ru/epz/contract/contractCard/payment-info-and-target-of-order.html?reestrNumber=3595900390223000015&amp;contractInfoId=88057580#page-2"/>
    <hyperlink ref="O61" r:id="rId47" display="https://zakupki.gov.ru/epz/contract/contractCard/payment-info-and-target-of-order.html?reestrNumber=3638500155624000006#contractSubjects"/>
    <hyperlink ref="O62" r:id="rId48" display="https://zakupki.gov.ru/epz/contract/contractCard/payment-info-and-target-of-order.html?reestrNumber=3644600653024000018#contractSubjects"/>
    <hyperlink ref="O63" r:id="rId49" display="https://zakupki.gov.ru/epz/contract/contractCard/payment-info-and-target-of-order.html?reestrNumber=3732902486524000001#contractSubjects"/>
    <hyperlink ref="O66" r:id="rId50" display="https://zakupki.gov.ru/epz/contract/contractCard/payment-info-and-target-of-order.html?reestrNumber=3661100132024000002#contractSubjects"/>
    <hyperlink ref="O69" r:id="rId51" display="https://zakupki.gov.ru/epz/contract/contractCard/payment-info-and-target-of-order.html?reestrNumber=3860201761624000003#contractSubjects"/>
    <hyperlink ref="O73" r:id="rId52" display="https://zakupki.gov.ru/epz/contract/contractCard/payment-info-and-target-of-order.html?reestrNumber=3041000415024000007#page-1"/>
    <hyperlink ref="O74" r:id="rId53" display="https://zakupki.gov.ru/epz/contract/contractCard/payment-info-and-target-of-order.html?reestrNumber=3032312724424000002#contractSubjects"/>
    <hyperlink ref="O75" r:id="rId54" display="https://zakupki.gov.ru/epz/contract/contractCard/payment-info-and-target-of-order.html?reestrNumber=3422900667324000003#page-1"/>
    <hyperlink ref="O76" r:id="rId55" display="https://zakupki.gov.ru/epz/contract/contractCard/payment-info-and-target-of-order.html?reestrNumber=3190400416024000001#page-1"/>
    <hyperlink ref="O77" r:id="rId56" display="https://zakupki.gov.ru/epz/contract/contractCard/payment-info-and-target-of-order.html?reestrNumber=3227100131523000008#contractSubjects"/>
    <hyperlink ref="O78" r:id="rId57" display="https://zakupki.gov.ru/epz/contract/contractCard/payment-info-and-target-of-order.html?reestrNumber=3245300599523000068#contractSubjects"/>
    <hyperlink ref="O79" r:id="rId58" display="https://zakupki.gov.ru/epz/contract/contractCard/payment-info-and-target-of-order.html?reestrNumber=3880101284524000018#contractSubjects"/>
    <hyperlink ref="O80" r:id="rId59" display="https://zakupki.gov.ru/epz/contract/contractCard/payment-info-and-target-of-order.html?reestrNumber=3850100070424000005#contractSubjects"/>
    <hyperlink ref="O81" r:id="rId60" display="https://zakupki.gov.ru/epz/contract/contractCard/payment-info-and-target-of-order.html?reestrNumber=3423400213824000008#contractSubjects"/>
    <hyperlink ref="O82" r:id="rId61" display="https://zakupki.gov.ru/epz/contract/contractCard/payment-info-and-target-of-order.html?reestrNumber=3544011267424000019#contractSubjects"/>
    <hyperlink ref="O83" r:id="rId62" display="https://zakupki.gov.ru/epz/contract/contractCard/payment-info-and-target-of-order.html?reestrNumber=3551520025724000001#contractSubjects"/>
    <hyperlink ref="O84" r:id="rId63" display="https://zakupki.gov.ru/epz/contract/contractCard/payment-info-and-target-of-order.html?reestrNumber=3701000078924000007#contractSubjects"/>
    <hyperlink ref="O85" r:id="rId64" display="https://zakupki.gov.ru/epz/contract/contractCard/payment-info-and-target-of-order.html?reestrNumber=3753608837724000003#contractSubjects"/>
    <hyperlink ref="O88" r:id="rId65" display="https://zakupki.gov.ru/epz/contract/contractCard/payment-info-and-target-of-order.html?reestrNumber=3250207287724000004#contractSubjects"/>
    <hyperlink ref="O89" r:id="rId66" display="https://zakupki.gov.ru/epz/contract/contractCard/payment-info-and-target-of-order.html?reestrNumber=3271300691524000004#contractSubjects"/>
    <hyperlink ref="O90" r:id="rId67" display="https://zakupki.gov.ru/epz/contract/contractCard/payment-info-and-target-of-order.html?reestrNumber=3282200409724000006#contractSubjects"/>
    <hyperlink ref="O92" r:id="rId68" display="https://zakupki.gov.ru/epz/contract/contractCard/payment-info-and-target-of-order.html?reestrNumber=3490901344524000003#contractSubjects"/>
    <hyperlink ref="O93" r:id="rId69" display="https://zakupki.gov.ru/epz/contract/contractCard/payment-info-and-target-of-order.html?reestrNumber=3650300045624000032#contractSubjects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" sqref="B2"/>
    </sheetView>
  </sheetViews>
  <sheetFormatPr defaultColWidth="9.14285714285714" defaultRowHeight="15" outlineLevelRow="2" outlineLevelCol="1"/>
  <cols>
    <col min="1" max="1" width="48.4285714285714" customWidth="1"/>
  </cols>
  <sheetData>
    <row r="1" spans="1:2">
      <c r="A1" t="s">
        <v>180</v>
      </c>
      <c r="B1">
        <v>5</v>
      </c>
    </row>
    <row r="2" spans="1:2">
      <c r="A2" t="s">
        <v>181</v>
      </c>
      <c r="B2">
        <f>B1*365</f>
        <v>1825</v>
      </c>
    </row>
    <row r="3" spans="1:2">
      <c r="A3" t="s">
        <v>182</v>
      </c>
      <c r="B3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Таблица</vt:lpstr>
      <vt:lpstr>Постоянные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Заповедник здра�</cp:lastModifiedBy>
  <dcterms:created xsi:type="dcterms:W3CDTF">2024-05-14T05:53:00Z</dcterms:created>
  <dcterms:modified xsi:type="dcterms:W3CDTF">2024-05-26T07:52:03Z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A6AEF90516D74C1080C0F33E5FF43F3E_11</vt:lpwstr>
  </property>
  <property fmtid="{D5CDD505-2E9C-101B-9397-08002B2CF9AE}" pid="3" name="KSOProductBuildVer">
    <vt:lpwstr>1049-12.2.0.16731</vt:lpwstr>
  </property>
</Properties>
</file>